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ZARAGOZA\"/>
    </mc:Choice>
  </mc:AlternateContent>
  <workbookProtection workbookAlgorithmName="SHA-512" workbookHashValue="H5/TbFmEr0oQIBbhzzZv/q1NAnqYZKjnNGZu6PKbpIrXy4d4rzdY+b+mPrj1TjxiieT4Kav9YL9ENOG2cQ240g==" workbookSaltValue="EQBKoMBGmVfxyqVCTzRl7A==" workbookSpinCount="100000" lockStructure="1"/>
  <bookViews>
    <workbookView xWindow="-105" yWindow="-105" windowWidth="25815" windowHeight="1402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33" i="20"/>
  <c r="BA19" i="20"/>
  <c r="BA31" i="20"/>
  <c r="BA14" i="20"/>
  <c r="EY23" i="19"/>
  <c r="EY14" i="19"/>
  <c r="EY23" i="8"/>
  <c r="EY14" i="8"/>
  <c r="EY23" i="13"/>
  <c r="EY14" i="13"/>
  <c r="EX23" i="19"/>
  <c r="EX14" i="19"/>
  <c r="BA32" i="20"/>
  <c r="EX23" i="8" l="1"/>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X26" i="21" l="1"/>
  <c r="EW31" i="8"/>
  <c r="AW14" i="11"/>
  <c r="EV31" i="19"/>
  <c r="EW31" i="19"/>
  <c r="AU14" i="17"/>
  <c r="AW23" i="11"/>
  <c r="AW26" i="11" s="1"/>
  <c r="AW30" i="11" s="1"/>
  <c r="BP23" i="16"/>
  <c r="BP26" i="16" s="1"/>
  <c r="BP30" i="16" s="1"/>
  <c r="BP14" i="16"/>
  <c r="AX14" i="21"/>
  <c r="AX30" i="21"/>
  <c r="AY31" i="20"/>
  <c r="AW23" i="20"/>
  <c r="AW26" i="20" s="1"/>
  <c r="AW14" i="20"/>
  <c r="AU23" i="17"/>
  <c r="BR30" i="16"/>
  <c r="EV31" i="8"/>
  <c r="EV31" i="13"/>
  <c r="AW32" i="20"/>
  <c r="AU31" i="17" l="1"/>
  <c r="AX33" i="21"/>
  <c r="AW30" i="20"/>
  <c r="BR31" i="16"/>
  <c r="AW33" i="11"/>
  <c r="BB17" i="13"/>
  <c r="BE17" i="13" s="1"/>
  <c r="BA17" i="13"/>
  <c r="BB16" i="13"/>
  <c r="BE16" i="13" s="1"/>
  <c r="BA16" i="13"/>
  <c r="AZ17" i="13"/>
  <c r="BD17" i="13" s="1"/>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23" i="17" s="1"/>
  <c r="T26" i="17" s="1"/>
  <c r="T30" i="17" s="1"/>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30" i="2" s="1"/>
  <c r="K28" i="2"/>
  <c r="K25" i="2"/>
  <c r="K26" i="2" s="1"/>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6" i="2" s="1"/>
  <c r="N22" i="2"/>
  <c r="N21" i="2"/>
  <c r="N20" i="2"/>
  <c r="N19" i="2"/>
  <c r="N18" i="2"/>
  <c r="N17" i="2"/>
  <c r="N16" i="2"/>
  <c r="N13" i="2"/>
  <c r="N12" i="2"/>
  <c r="N11" i="2"/>
  <c r="N10" i="2"/>
  <c r="N9" i="2"/>
  <c r="M29" i="2"/>
  <c r="M28" i="2"/>
  <c r="M25" i="2"/>
  <c r="M22" i="2"/>
  <c r="M21" i="2"/>
  <c r="M20" i="2"/>
  <c r="M19" i="2"/>
  <c r="M18" i="2"/>
  <c r="M17" i="2"/>
  <c r="M16" i="2"/>
  <c r="M23" i="2" s="1"/>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BE12" i="21" s="1"/>
  <c r="BE14" i="21" s="1"/>
  <c r="BE31" i="21" s="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S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P31" i="19" s="1"/>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Z14" i="17" s="1"/>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BE11" i="13" s="1"/>
  <c r="AZ12" i="13"/>
  <c r="AZ11" i="13"/>
  <c r="AY12" i="13"/>
  <c r="AY11" i="13"/>
  <c r="BG11" i="13" s="1"/>
  <c r="BB9" i="13"/>
  <c r="BA9" i="13"/>
  <c r="AY9" i="13"/>
  <c r="BC12" i="13"/>
  <c r="BC11" i="13"/>
  <c r="BC10" i="13"/>
  <c r="BB10" i="13"/>
  <c r="BA10" i="13"/>
  <c r="AZ10" i="13"/>
  <c r="AY10" i="13"/>
  <c r="BC9" i="13"/>
  <c r="BC29" i="13"/>
  <c r="BB29" i="13"/>
  <c r="BA29" i="13"/>
  <c r="AZ29" i="13"/>
  <c r="AY29" i="13"/>
  <c r="BC28" i="13"/>
  <c r="BB28" i="13"/>
  <c r="BA28" i="13"/>
  <c r="AZ28" i="13"/>
  <c r="AY28" i="13"/>
  <c r="BC22" i="13"/>
  <c r="BB22" i="13"/>
  <c r="BA22" i="13"/>
  <c r="BF22" i="13" s="1"/>
  <c r="AZ22" i="13"/>
  <c r="BG22" i="13" s="1"/>
  <c r="AY22" i="13"/>
  <c r="BC21" i="13"/>
  <c r="BB21" i="13"/>
  <c r="BA21" i="13"/>
  <c r="AZ21" i="13"/>
  <c r="AY21" i="13"/>
  <c r="BC20" i="13"/>
  <c r="BB20" i="13"/>
  <c r="BA20" i="13"/>
  <c r="AZ20" i="13"/>
  <c r="AY20" i="13"/>
  <c r="BC19" i="13"/>
  <c r="BB19" i="13"/>
  <c r="BA19" i="13"/>
  <c r="AZ19" i="13"/>
  <c r="AY19" i="13"/>
  <c r="BC18" i="13"/>
  <c r="BB18" i="13"/>
  <c r="BA18" i="13"/>
  <c r="AZ18" i="13"/>
  <c r="AY18" i="13"/>
  <c r="BC17" i="13"/>
  <c r="BF17" i="13" s="1"/>
  <c r="BG17" i="13"/>
  <c r="BC16" i="13"/>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E23" i="7" s="1"/>
  <c r="K23" i="8"/>
  <c r="D23" i="7" s="1"/>
  <c r="J23" i="8"/>
  <c r="C23" i="7" s="1"/>
  <c r="I23" i="8"/>
  <c r="D23" i="12" s="1"/>
  <c r="CF14" i="8"/>
  <c r="N14" i="12" s="1"/>
  <c r="CE14" i="8"/>
  <c r="M14" i="12" s="1"/>
  <c r="CD14" i="8"/>
  <c r="CC14" i="8"/>
  <c r="CB14" i="8"/>
  <c r="CA14" i="8"/>
  <c r="BL14" i="8"/>
  <c r="BK14" i="8"/>
  <c r="BJ14" i="8"/>
  <c r="BI14" i="8"/>
  <c r="BH14" i="8"/>
  <c r="AR14" i="8"/>
  <c r="C14" i="3" s="1"/>
  <c r="AQ14" i="8"/>
  <c r="AP14" i="8"/>
  <c r="AO14" i="8"/>
  <c r="B14" i="3" s="1"/>
  <c r="AN14" i="8"/>
  <c r="AM14" i="8"/>
  <c r="AL14" i="8"/>
  <c r="AK14" i="8"/>
  <c r="AJ14" i="8"/>
  <c r="T14" i="12" s="1"/>
  <c r="AI14" i="8"/>
  <c r="AH14" i="8"/>
  <c r="R14" i="12" s="1"/>
  <c r="AG14" i="8"/>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C29" i="11" s="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J25" i="11"/>
  <c r="J26" i="11" s="1"/>
  <c r="I25" i="11"/>
  <c r="I26" i="11" s="1"/>
  <c r="J22" i="11"/>
  <c r="I22" i="11"/>
  <c r="J21" i="11"/>
  <c r="J20" i="11"/>
  <c r="I20" i="11"/>
  <c r="J19" i="11"/>
  <c r="I19" i="11"/>
  <c r="J18" i="11"/>
  <c r="I18" i="11"/>
  <c r="J17" i="11"/>
  <c r="I17" i="11"/>
  <c r="J16" i="11"/>
  <c r="I16" i="11"/>
  <c r="J13" i="11"/>
  <c r="I13" i="11"/>
  <c r="J12" i="11"/>
  <c r="J11" i="11"/>
  <c r="J10" i="11"/>
  <c r="I10" i="11"/>
  <c r="J9" i="11"/>
  <c r="H29" i="11"/>
  <c r="H28" i="11"/>
  <c r="N28" i="11" s="1"/>
  <c r="H25" i="11"/>
  <c r="H22" i="11"/>
  <c r="H21" i="11"/>
  <c r="H20" i="11"/>
  <c r="N20" i="11" s="1"/>
  <c r="H19" i="11"/>
  <c r="N19" i="11" s="1"/>
  <c r="H18" i="11"/>
  <c r="N18" i="11" s="1"/>
  <c r="H17" i="11"/>
  <c r="N17" i="11" s="1"/>
  <c r="H16" i="11"/>
  <c r="N16" i="11" s="1"/>
  <c r="H13" i="11"/>
  <c r="N13" i="11" s="1"/>
  <c r="H10" i="1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B28" i="11"/>
  <c r="AC28" i="11" s="1"/>
  <c r="AB25" i="11"/>
  <c r="AB22" i="11"/>
  <c r="AB21" i="11"/>
  <c r="AB20" i="11"/>
  <c r="AB19" i="11"/>
  <c r="AB18" i="11"/>
  <c r="AB17" i="11"/>
  <c r="AB16" i="11"/>
  <c r="AB13" i="11"/>
  <c r="AB12" i="11"/>
  <c r="AB11" i="11"/>
  <c r="AB10" i="11"/>
  <c r="AC10" i="11" s="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H21" i="2" s="1"/>
  <c r="G22" i="2"/>
  <c r="E16" i="2"/>
  <c r="E17" i="2"/>
  <c r="E18" i="2"/>
  <c r="E19" i="2"/>
  <c r="E20" i="2"/>
  <c r="E21" i="2"/>
  <c r="F21" i="2" s="1"/>
  <c r="E22" i="2"/>
  <c r="C17" i="2"/>
  <c r="C18" i="2"/>
  <c r="D18" i="2" s="1"/>
  <c r="C19" i="2"/>
  <c r="C20" i="2"/>
  <c r="D20" i="2" s="1"/>
  <c r="C21" i="2"/>
  <c r="D21" i="2" s="1"/>
  <c r="C22" i="2"/>
  <c r="D22" i="2" s="1"/>
  <c r="I9" i="2"/>
  <c r="I10" i="2"/>
  <c r="I11" i="2"/>
  <c r="I12" i="2"/>
  <c r="I13" i="2"/>
  <c r="C10" i="2"/>
  <c r="C11" i="2"/>
  <c r="D11" i="2" s="1"/>
  <c r="C12" i="2"/>
  <c r="C13" i="2"/>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G16" i="8" s="1"/>
  <c r="BB12" i="8"/>
  <c r="BA12" i="8"/>
  <c r="AZ12" i="8"/>
  <c r="AY12" i="8"/>
  <c r="BB11" i="8"/>
  <c r="BA11" i="8"/>
  <c r="AZ11" i="8"/>
  <c r="AY11" i="8"/>
  <c r="BB9" i="8"/>
  <c r="BA9" i="8"/>
  <c r="BD9" i="8" s="1"/>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A14" i="8" s="1"/>
  <c r="BB10" i="8"/>
  <c r="BC10" i="8"/>
  <c r="BC11" i="8"/>
  <c r="BC12" i="8"/>
  <c r="BF12" i="8" s="1"/>
  <c r="AY13" i="8"/>
  <c r="AZ13" i="8"/>
  <c r="BA13" i="8"/>
  <c r="BB13" i="8"/>
  <c r="BC13" i="8"/>
  <c r="BF13" i="8" s="1"/>
  <c r="BC16" i="8"/>
  <c r="BF16" i="8" s="1"/>
  <c r="BC17" i="8"/>
  <c r="AY18" i="8"/>
  <c r="AZ18" i="8"/>
  <c r="BA18" i="8"/>
  <c r="BB18" i="8"/>
  <c r="BC18" i="8"/>
  <c r="AY19" i="8"/>
  <c r="AZ19" i="8"/>
  <c r="BA19" i="8"/>
  <c r="BB19" i="8"/>
  <c r="BC19" i="8"/>
  <c r="BF19" i="8" s="1"/>
  <c r="AY20" i="8"/>
  <c r="AZ20" i="8"/>
  <c r="BA20" i="8"/>
  <c r="BB20" i="8"/>
  <c r="BC20" i="8"/>
  <c r="AY21" i="8"/>
  <c r="AZ21" i="8"/>
  <c r="BA21" i="8"/>
  <c r="BB21" i="8"/>
  <c r="BC21" i="8"/>
  <c r="BF21" i="8" s="1"/>
  <c r="AY22" i="8"/>
  <c r="AZ22" i="8"/>
  <c r="BA22" i="8"/>
  <c r="BB22" i="8"/>
  <c r="BC22" i="8"/>
  <c r="AY25" i="8"/>
  <c r="AZ25" i="8"/>
  <c r="BD25" i="8" s="1"/>
  <c r="BA25" i="8"/>
  <c r="BB25" i="8"/>
  <c r="BC25" i="8"/>
  <c r="I26" i="8"/>
  <c r="J26" i="8"/>
  <c r="K26" i="8"/>
  <c r="L26" i="8"/>
  <c r="M26" i="8"/>
  <c r="N26" i="8"/>
  <c r="P26" i="8"/>
  <c r="Q26" i="8"/>
  <c r="R26" i="8"/>
  <c r="S26" i="8"/>
  <c r="T26" i="8"/>
  <c r="U26" i="8"/>
  <c r="V26" i="8"/>
  <c r="W26" i="8"/>
  <c r="X26" i="8"/>
  <c r="Y26" i="8"/>
  <c r="Z26" i="8"/>
  <c r="AA26" i="8"/>
  <c r="AB26" i="8"/>
  <c r="AC26" i="8"/>
  <c r="AD26" i="8"/>
  <c r="AE26" i="8"/>
  <c r="AF26" i="8"/>
  <c r="AG26" i="8"/>
  <c r="Q26" i="12" s="1"/>
  <c r="AH26" i="8"/>
  <c r="R26" i="12" s="1"/>
  <c r="AI26" i="8"/>
  <c r="AJ26" i="8"/>
  <c r="T26" i="12" s="1"/>
  <c r="AK26" i="8"/>
  <c r="AL26" i="8"/>
  <c r="AM26" i="8"/>
  <c r="AN26" i="8"/>
  <c r="AO26" i="8"/>
  <c r="B26" i="3" s="1"/>
  <c r="AP26" i="8"/>
  <c r="B26" i="2" s="1"/>
  <c r="AQ26" i="8"/>
  <c r="AR26" i="8"/>
  <c r="BH26" i="8"/>
  <c r="BI26" i="8"/>
  <c r="BK26" i="8"/>
  <c r="CI26" i="8"/>
  <c r="CJ26" i="8"/>
  <c r="AY28" i="8"/>
  <c r="AZ28" i="8"/>
  <c r="BA28" i="8"/>
  <c r="BB28" i="8"/>
  <c r="BC28" i="8"/>
  <c r="AY29" i="8"/>
  <c r="AZ29" i="8"/>
  <c r="BA29" i="8"/>
  <c r="BB29" i="8"/>
  <c r="BC29" i="8"/>
  <c r="BF29" i="8" s="1"/>
  <c r="I30" i="8"/>
  <c r="J30" i="8"/>
  <c r="K30" i="8"/>
  <c r="L30" i="8"/>
  <c r="M30" i="8"/>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Q14"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E10" i="3" s="1"/>
  <c r="F10" i="3"/>
  <c r="H10" i="3"/>
  <c r="I10" i="3" s="1"/>
  <c r="A11" i="3"/>
  <c r="C11" i="3"/>
  <c r="D11" i="3"/>
  <c r="F11" i="3"/>
  <c r="H11" i="3"/>
  <c r="A12" i="3"/>
  <c r="C12" i="3"/>
  <c r="D12" i="3"/>
  <c r="E12" i="3" s="1"/>
  <c r="F12" i="3"/>
  <c r="H12" i="3"/>
  <c r="I12" i="3" s="1"/>
  <c r="A13" i="3"/>
  <c r="C13" i="3"/>
  <c r="D13" i="3"/>
  <c r="F13" i="3"/>
  <c r="H13" i="3"/>
  <c r="A14" i="3"/>
  <c r="A15" i="3"/>
  <c r="A16" i="3"/>
  <c r="C16" i="3"/>
  <c r="D16" i="3"/>
  <c r="F16" i="3"/>
  <c r="H16" i="3"/>
  <c r="A17" i="3"/>
  <c r="C17" i="3"/>
  <c r="D17" i="3"/>
  <c r="F17" i="3"/>
  <c r="G17" i="3" s="1"/>
  <c r="H17" i="3"/>
  <c r="A18" i="3"/>
  <c r="C18" i="3"/>
  <c r="D18" i="3"/>
  <c r="F18" i="3"/>
  <c r="H18" i="3"/>
  <c r="A19" i="3"/>
  <c r="C19" i="3"/>
  <c r="D19" i="3"/>
  <c r="F19" i="3"/>
  <c r="G19" i="3" s="1"/>
  <c r="H19" i="3"/>
  <c r="A20" i="3"/>
  <c r="C20" i="3"/>
  <c r="D20" i="3"/>
  <c r="F20" i="3"/>
  <c r="H20" i="3"/>
  <c r="A21" i="3"/>
  <c r="C21" i="3"/>
  <c r="D21" i="3"/>
  <c r="F21" i="3"/>
  <c r="H21" i="3"/>
  <c r="A22" i="3"/>
  <c r="C22" i="3"/>
  <c r="D22" i="3"/>
  <c r="F22" i="3"/>
  <c r="H22" i="3"/>
  <c r="A24" i="3"/>
  <c r="A25" i="3"/>
  <c r="C25" i="3"/>
  <c r="D25" i="3"/>
  <c r="F25" i="3"/>
  <c r="F26" i="3" s="1"/>
  <c r="H25" i="3"/>
  <c r="A26" i="3"/>
  <c r="A27" i="3"/>
  <c r="A28" i="3"/>
  <c r="C28" i="3"/>
  <c r="D28" i="3"/>
  <c r="F28" i="3"/>
  <c r="H28" i="3"/>
  <c r="A29" i="3"/>
  <c r="C29" i="3"/>
  <c r="D29" i="3"/>
  <c r="E29" i="3" s="1"/>
  <c r="F29" i="3"/>
  <c r="H29" i="3"/>
  <c r="A30" i="3"/>
  <c r="A31" i="3"/>
  <c r="A34"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F11" i="10" s="1"/>
  <c r="H11" i="10"/>
  <c r="A12" i="10"/>
  <c r="B12" i="10"/>
  <c r="C12" i="10"/>
  <c r="D12" i="10"/>
  <c r="I12" i="10" s="1"/>
  <c r="K12" i="10" s="1"/>
  <c r="E12" i="10"/>
  <c r="H12" i="10"/>
  <c r="A13" i="10"/>
  <c r="B13" i="10"/>
  <c r="C13" i="10"/>
  <c r="D13" i="10"/>
  <c r="I13" i="10" s="1"/>
  <c r="K13" i="10" s="1"/>
  <c r="E13" i="10"/>
  <c r="F13" i="10" s="1"/>
  <c r="A15" i="10"/>
  <c r="A16" i="10"/>
  <c r="B16" i="10"/>
  <c r="C16" i="10"/>
  <c r="D16" i="10"/>
  <c r="I16" i="10" s="1"/>
  <c r="K16" i="10" s="1"/>
  <c r="E16" i="10"/>
  <c r="F16" i="10" s="1"/>
  <c r="H16" i="10"/>
  <c r="A17" i="10"/>
  <c r="B17" i="10"/>
  <c r="C17" i="10"/>
  <c r="D17" i="10"/>
  <c r="E17" i="10"/>
  <c r="F17" i="10" s="1"/>
  <c r="H17" i="10"/>
  <c r="A18" i="10"/>
  <c r="B18" i="10"/>
  <c r="C18" i="10"/>
  <c r="D18" i="10"/>
  <c r="I18" i="10" s="1"/>
  <c r="K18" i="10" s="1"/>
  <c r="E18" i="10"/>
  <c r="F18" i="10" s="1"/>
  <c r="H18" i="10"/>
  <c r="A19" i="10"/>
  <c r="B19" i="10"/>
  <c r="C19" i="10"/>
  <c r="D19" i="10"/>
  <c r="E19" i="10"/>
  <c r="F19" i="10" s="1"/>
  <c r="H19" i="10"/>
  <c r="A20" i="10"/>
  <c r="B20" i="10"/>
  <c r="C20" i="10"/>
  <c r="D20" i="10"/>
  <c r="I20" i="10" s="1"/>
  <c r="K20" i="10" s="1"/>
  <c r="E20" i="10"/>
  <c r="A21" i="10"/>
  <c r="D21" i="10"/>
  <c r="I21" i="10" s="1"/>
  <c r="K21" i="10" s="1"/>
  <c r="E21" i="10"/>
  <c r="F21" i="10" s="1"/>
  <c r="H21" i="10"/>
  <c r="A22" i="10"/>
  <c r="B22" i="10"/>
  <c r="C22" i="10"/>
  <c r="D22" i="10"/>
  <c r="I22" i="10" s="1"/>
  <c r="K22" i="10" s="1"/>
  <c r="E22" i="10"/>
  <c r="F22" i="10" s="1"/>
  <c r="H22" i="10"/>
  <c r="A24" i="10"/>
  <c r="A25" i="10"/>
  <c r="B25" i="10"/>
  <c r="C25" i="10"/>
  <c r="D25" i="10"/>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B14" i="2"/>
  <c r="A15" i="2"/>
  <c r="A16" i="2"/>
  <c r="B16" i="2"/>
  <c r="A17" i="2"/>
  <c r="B17" i="2"/>
  <c r="A18" i="2"/>
  <c r="B18" i="2"/>
  <c r="A19" i="2"/>
  <c r="B19" i="2"/>
  <c r="A20" i="2"/>
  <c r="B20" i="2"/>
  <c r="A21" i="2"/>
  <c r="A22" i="2"/>
  <c r="B22" i="2"/>
  <c r="A23" i="2"/>
  <c r="A24" i="2"/>
  <c r="A25" i="2"/>
  <c r="B25" i="2"/>
  <c r="C25" i="2"/>
  <c r="E25" i="2"/>
  <c r="F25" i="2" s="1"/>
  <c r="G25" i="2"/>
  <c r="G26" i="2" s="1"/>
  <c r="I25" i="2"/>
  <c r="J25" i="2" s="1"/>
  <c r="A26" i="2"/>
  <c r="A27" i="2"/>
  <c r="A28" i="2"/>
  <c r="C28" i="2"/>
  <c r="D28" i="2" s="1"/>
  <c r="E28" i="2"/>
  <c r="G28" i="2"/>
  <c r="I28" i="2"/>
  <c r="A29" i="2"/>
  <c r="B29" i="2"/>
  <c r="C29" i="2"/>
  <c r="D29" i="2" s="1"/>
  <c r="E29" i="2"/>
  <c r="G29" i="2"/>
  <c r="I29" i="2"/>
  <c r="J29" i="2" s="1"/>
  <c r="A30" i="2"/>
  <c r="A31" i="2"/>
  <c r="A32" i="2"/>
  <c r="A33" i="2"/>
  <c r="A35" i="2"/>
  <c r="O37" i="11"/>
  <c r="O38" i="11"/>
  <c r="S14" i="12"/>
  <c r="P13" i="14"/>
  <c r="S26" i="12"/>
  <c r="AN23" i="17"/>
  <c r="AD26" i="20"/>
  <c r="AA30" i="20"/>
  <c r="AY30" i="19"/>
  <c r="BC30" i="19"/>
  <c r="AZ30" i="19"/>
  <c r="AZ14" i="19"/>
  <c r="AY26" i="19"/>
  <c r="BC26" i="19"/>
  <c r="BB14" i="19"/>
  <c r="BA23" i="19"/>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AY26" i="21" s="1"/>
  <c r="AY30" i="21" s="1"/>
  <c r="N30" i="21"/>
  <c r="V30" i="21"/>
  <c r="T30" i="21"/>
  <c r="AF30" i="21"/>
  <c r="O30" i="21"/>
  <c r="F26" i="21"/>
  <c r="AE23" i="21"/>
  <c r="AJ23" i="21"/>
  <c r="AK23" i="21"/>
  <c r="H30" i="21"/>
  <c r="AE26" i="21"/>
  <c r="H23" i="21"/>
  <c r="Z23" i="2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P26" i="20"/>
  <c r="J14" i="20"/>
  <c r="P30" i="20"/>
  <c r="E14" i="20"/>
  <c r="T26" i="20"/>
  <c r="Q14" i="20"/>
  <c r="G14" i="20"/>
  <c r="K14" i="20"/>
  <c r="AT14" i="20"/>
  <c r="AA14" i="20"/>
  <c r="AD30" i="20"/>
  <c r="AE30" i="20"/>
  <c r="R14" i="20"/>
  <c r="F14" i="20"/>
  <c r="CO31" i="8"/>
  <c r="V23" i="21"/>
  <c r="T23" i="21"/>
  <c r="BD18" i="8"/>
  <c r="E23" i="12"/>
  <c r="AP9" i="11"/>
  <c r="EN31" i="8"/>
  <c r="BA14" i="16"/>
  <c r="N29" i="11"/>
  <c r="N10" i="11"/>
  <c r="N11" i="11"/>
  <c r="M26" i="2"/>
  <c r="ES31" i="8"/>
  <c r="G23" i="12"/>
  <c r="AA31" i="8"/>
  <c r="EP31" i="8"/>
  <c r="ER31" i="13"/>
  <c r="EP31" i="19"/>
  <c r="S14" i="16"/>
  <c r="P14" i="16"/>
  <c r="F13" i="16"/>
  <c r="N30" i="16"/>
  <c r="H14" i="21"/>
  <c r="K23" i="2"/>
  <c r="M14" i="2"/>
  <c r="N14" i="2"/>
  <c r="N23" i="2"/>
  <c r="F30" i="17"/>
  <c r="F14" i="7"/>
  <c r="T14" i="16"/>
  <c r="T14" i="20"/>
  <c r="BF25" i="8"/>
  <c r="BF9" i="8"/>
  <c r="C30" i="7"/>
  <c r="AO14" i="21"/>
  <c r="AP14" i="16"/>
  <c r="BG16" i="13"/>
  <c r="X32" i="20"/>
  <c r="G30" i="14"/>
  <c r="G23" i="14"/>
  <c r="BF18" i="8" l="1"/>
  <c r="J18" i="7" s="1"/>
  <c r="AK31" i="8"/>
  <c r="AY14" i="8"/>
  <c r="H28" i="2"/>
  <c r="BD11" i="13"/>
  <c r="I13" i="14"/>
  <c r="BF17" i="8"/>
  <c r="B16" i="6"/>
  <c r="BD12" i="8"/>
  <c r="R8" i="9"/>
  <c r="X12" i="21" s="1"/>
  <c r="T18" i="11"/>
  <c r="BH11" i="16"/>
  <c r="S20" i="14"/>
  <c r="V20" i="14" s="1"/>
  <c r="BK13" i="11"/>
  <c r="BH16" i="11"/>
  <c r="BH19" i="16"/>
  <c r="P18" i="17"/>
  <c r="BM29" i="11"/>
  <c r="BF29" i="11"/>
  <c r="BH19" i="11"/>
  <c r="BK19" i="11"/>
  <c r="BK9" i="11"/>
  <c r="BK16" i="11"/>
  <c r="BJ21" i="11"/>
  <c r="V21" i="11"/>
  <c r="BF22" i="11"/>
  <c r="BH9" i="11"/>
  <c r="BI16" i="11"/>
  <c r="BJ29" i="11"/>
  <c r="BM13" i="11"/>
  <c r="BJ12" i="11"/>
  <c r="BG9" i="11"/>
  <c r="BL11" i="11"/>
  <c r="R18" i="20"/>
  <c r="R23" i="20" s="1"/>
  <c r="BL21" i="11"/>
  <c r="BK18" i="11"/>
  <c r="S12" i="14"/>
  <c r="V12" i="14" s="1"/>
  <c r="S17" i="14"/>
  <c r="V17" i="14" s="1"/>
  <c r="R10" i="14"/>
  <c r="R17" i="14"/>
  <c r="R25" i="14"/>
  <c r="AM9" i="11"/>
  <c r="T21" i="11"/>
  <c r="T29" i="11"/>
  <c r="T9" i="11"/>
  <c r="S16" i="14"/>
  <c r="V16" i="14" s="1"/>
  <c r="T20" i="11"/>
  <c r="AA10" i="16"/>
  <c r="X12" i="17"/>
  <c r="X9" i="17"/>
  <c r="X22" i="20"/>
  <c r="V12" i="21"/>
  <c r="V18" i="16"/>
  <c r="V21" i="16"/>
  <c r="L11" i="2"/>
  <c r="U13" i="17"/>
  <c r="X16" i="16"/>
  <c r="X23" i="16" s="1"/>
  <c r="R13" i="14"/>
  <c r="S13" i="14"/>
  <c r="V13" i="14" s="1"/>
  <c r="S18" i="14"/>
  <c r="V18" i="14" s="1"/>
  <c r="R18" i="14"/>
  <c r="T12" i="11"/>
  <c r="T22" i="11"/>
  <c r="V13" i="16"/>
  <c r="AA28" i="16"/>
  <c r="X22" i="17"/>
  <c r="X10" i="17"/>
  <c r="X18" i="17"/>
  <c r="X18" i="20"/>
  <c r="X20" i="20"/>
  <c r="V16" i="16"/>
  <c r="V12" i="16"/>
  <c r="T19" i="20"/>
  <c r="X25" i="16"/>
  <c r="X30" i="16" s="1"/>
  <c r="R13" i="17"/>
  <c r="AS14" i="8"/>
  <c r="AS31" i="8" s="1"/>
  <c r="H13" i="10"/>
  <c r="BF23" i="19"/>
  <c r="BF9" i="13"/>
  <c r="BB14" i="13"/>
  <c r="BF20" i="8"/>
  <c r="B23" i="7"/>
  <c r="AP11" i="11"/>
  <c r="Y11" i="11"/>
  <c r="F9" i="2"/>
  <c r="E28" i="3"/>
  <c r="G22" i="3"/>
  <c r="G20" i="3"/>
  <c r="G18" i="3"/>
  <c r="G16" i="3"/>
  <c r="I11" i="3"/>
  <c r="K16" i="7"/>
  <c r="E13" i="6"/>
  <c r="AL17" i="11"/>
  <c r="AL20" i="11"/>
  <c r="BG25" i="13"/>
  <c r="BE25" i="13"/>
  <c r="BC23" i="13"/>
  <c r="AZ23" i="13"/>
  <c r="BB23" i="13"/>
  <c r="BA23" i="13"/>
  <c r="BD20" i="13"/>
  <c r="BG21" i="13"/>
  <c r="BD21" i="13"/>
  <c r="AY30" i="13"/>
  <c r="BF28" i="13"/>
  <c r="AZ30" i="13"/>
  <c r="R30" i="17"/>
  <c r="N9" i="11"/>
  <c r="B20" i="6"/>
  <c r="AB31" i="19"/>
  <c r="CN31" i="19"/>
  <c r="BF16" i="13"/>
  <c r="BG9" i="13"/>
  <c r="BD9" i="13"/>
  <c r="AM31" i="13"/>
  <c r="AC31" i="13"/>
  <c r="AM31" i="8"/>
  <c r="H30" i="12"/>
  <c r="D30" i="12"/>
  <c r="BE29" i="8"/>
  <c r="BD28" i="8"/>
  <c r="Z31" i="8"/>
  <c r="G26" i="7"/>
  <c r="G26" i="12"/>
  <c r="T31" i="8"/>
  <c r="R31" i="8"/>
  <c r="H26" i="12"/>
  <c r="D26" i="7"/>
  <c r="I31" i="8"/>
  <c r="BE25" i="8"/>
  <c r="BG25" i="8"/>
  <c r="BG9" i="8"/>
  <c r="BE9" i="8"/>
  <c r="BG12" i="8"/>
  <c r="K12" i="7" s="1"/>
  <c r="BD16" i="8"/>
  <c r="AR14" i="21"/>
  <c r="BM31" i="8"/>
  <c r="EL31" i="8"/>
  <c r="I30" i="11"/>
  <c r="AQ19" i="11"/>
  <c r="D22" i="6"/>
  <c r="G26" i="3"/>
  <c r="G29" i="3"/>
  <c r="I21" i="3"/>
  <c r="E21" i="3"/>
  <c r="I19" i="3"/>
  <c r="I17" i="3"/>
  <c r="J11" i="10"/>
  <c r="L11" i="10" s="1"/>
  <c r="BE23" i="19"/>
  <c r="R31" i="19"/>
  <c r="V31" i="19"/>
  <c r="AD31" i="19"/>
  <c r="AS14" i="21"/>
  <c r="AO23" i="20"/>
  <c r="AT23" i="20"/>
  <c r="AQ31" i="19"/>
  <c r="J23" i="17"/>
  <c r="BL25" i="16"/>
  <c r="BE19" i="13"/>
  <c r="AQ31" i="13"/>
  <c r="U31" i="13"/>
  <c r="S31" i="13"/>
  <c r="BE28" i="13"/>
  <c r="BD29" i="13"/>
  <c r="BC14" i="13"/>
  <c r="BG10" i="13"/>
  <c r="BE9" i="13"/>
  <c r="B30" i="7"/>
  <c r="BH30" i="16"/>
  <c r="AI31" i="8"/>
  <c r="W31" i="8"/>
  <c r="BD22" i="8"/>
  <c r="H22" i="7" s="1"/>
  <c r="BD21" i="8"/>
  <c r="H21" i="7" s="1"/>
  <c r="C12" i="6"/>
  <c r="B19" i="6"/>
  <c r="B17" i="6"/>
  <c r="B18" i="6"/>
  <c r="C21" i="6"/>
  <c r="C19" i="6"/>
  <c r="C17" i="6"/>
  <c r="Y20" i="11"/>
  <c r="Y10" i="11"/>
  <c r="Y9" i="11"/>
  <c r="EQ31" i="8"/>
  <c r="ER31" i="8"/>
  <c r="BA26" i="8"/>
  <c r="CI31" i="8"/>
  <c r="S31" i="8"/>
  <c r="Y31" i="8"/>
  <c r="AC31" i="8"/>
  <c r="AE31" i="8"/>
  <c r="AB31" i="8"/>
  <c r="BK31" i="8"/>
  <c r="E16" i="3"/>
  <c r="E14" i="17"/>
  <c r="AQ13" i="17"/>
  <c r="F26" i="17"/>
  <c r="C10" i="14"/>
  <c r="K10" i="14" s="1"/>
  <c r="E26" i="14"/>
  <c r="D9" i="12"/>
  <c r="AG26" i="11"/>
  <c r="Y29" i="11"/>
  <c r="N21" i="11"/>
  <c r="AA26" i="11"/>
  <c r="H30" i="3"/>
  <c r="G28" i="3"/>
  <c r="I25" i="3"/>
  <c r="E25" i="3"/>
  <c r="BI20" i="16"/>
  <c r="H12" i="7"/>
  <c r="AM19" i="11"/>
  <c r="C30" i="2"/>
  <c r="D30" i="2" s="1"/>
  <c r="AL18" i="11"/>
  <c r="BI18" i="16"/>
  <c r="B29" i="6"/>
  <c r="AN9" i="11"/>
  <c r="K9" i="7"/>
  <c r="AO11" i="11"/>
  <c r="AL9" i="11"/>
  <c r="H12" i="2"/>
  <c r="H10" i="2"/>
  <c r="BD26" i="19"/>
  <c r="AB14" i="21"/>
  <c r="AB31" i="21" s="1"/>
  <c r="AE14" i="21"/>
  <c r="AE31" i="21" s="1"/>
  <c r="S28" i="17"/>
  <c r="AN31" i="13"/>
  <c r="Z31" i="13"/>
  <c r="V31" i="13"/>
  <c r="AY26" i="13"/>
  <c r="Q31" i="13"/>
  <c r="BD13" i="13"/>
  <c r="AY14" i="13"/>
  <c r="BD12" i="13"/>
  <c r="BD29" i="8"/>
  <c r="BG29" i="8"/>
  <c r="AY30" i="8"/>
  <c r="BG21" i="8"/>
  <c r="AY23" i="8"/>
  <c r="H9" i="7"/>
  <c r="E26" i="7"/>
  <c r="BE28" i="8"/>
  <c r="I28" i="7" s="1"/>
  <c r="J16" i="7"/>
  <c r="AL12" i="11"/>
  <c r="BG26" i="16"/>
  <c r="L31" i="8"/>
  <c r="AO16" i="11"/>
  <c r="AN29" i="11"/>
  <c r="AU23" i="21"/>
  <c r="Z26" i="21"/>
  <c r="L31" i="21"/>
  <c r="C31" i="3"/>
  <c r="C26" i="3"/>
  <c r="F13" i="2"/>
  <c r="AO9" i="11"/>
  <c r="B9" i="6"/>
  <c r="AG31" i="8"/>
  <c r="AR23" i="11"/>
  <c r="AV23" i="21"/>
  <c r="F12" i="21"/>
  <c r="AT26" i="21"/>
  <c r="F28" i="2"/>
  <c r="C25" i="6"/>
  <c r="I25" i="10"/>
  <c r="K25" i="10" s="1"/>
  <c r="I19" i="10"/>
  <c r="K19" i="10" s="1"/>
  <c r="I17" i="10"/>
  <c r="K17" i="10" s="1"/>
  <c r="I11" i="10"/>
  <c r="K11" i="10" s="1"/>
  <c r="I9" i="10"/>
  <c r="K9" i="10" s="1"/>
  <c r="BG10" i="8"/>
  <c r="BE11" i="8"/>
  <c r="I11" i="7" s="1"/>
  <c r="BE12" i="8"/>
  <c r="I12" i="7" s="1"/>
  <c r="BE16" i="8"/>
  <c r="I16" i="7" s="1"/>
  <c r="BD17" i="8"/>
  <c r="AS26" i="21"/>
  <c r="AL13" i="11"/>
  <c r="H11" i="2"/>
  <c r="AL19" i="11"/>
  <c r="L21" i="14"/>
  <c r="J19" i="2"/>
  <c r="L17" i="14"/>
  <c r="AP29" i="11"/>
  <c r="R23" i="11"/>
  <c r="Y22" i="11"/>
  <c r="AC11" i="11"/>
  <c r="AC13" i="11"/>
  <c r="AC19" i="11"/>
  <c r="AC21" i="11"/>
  <c r="H26" i="11"/>
  <c r="AQ29" i="11"/>
  <c r="AA30" i="11"/>
  <c r="AC26" i="17"/>
  <c r="AC31" i="17" s="1"/>
  <c r="AT23" i="17"/>
  <c r="C12" i="14"/>
  <c r="K12" i="14" s="1"/>
  <c r="E9" i="12"/>
  <c r="N25" i="11"/>
  <c r="F12" i="11"/>
  <c r="AQ12" i="11" s="1"/>
  <c r="AQ10" i="11"/>
  <c r="X30" i="11"/>
  <c r="AC18" i="11"/>
  <c r="AC22" i="11"/>
  <c r="J14" i="11"/>
  <c r="K23" i="11"/>
  <c r="K26" i="11" s="1"/>
  <c r="E13" i="3"/>
  <c r="G13" i="3"/>
  <c r="G11" i="3"/>
  <c r="K25" i="7"/>
  <c r="E9" i="6"/>
  <c r="AO20" i="11"/>
  <c r="E11" i="6"/>
  <c r="E28" i="6"/>
  <c r="AL11" i="11"/>
  <c r="B11" i="6"/>
  <c r="J21" i="2"/>
  <c r="AN11" i="11"/>
  <c r="AM21" i="11"/>
  <c r="AN13" i="11"/>
  <c r="B21" i="6"/>
  <c r="J12" i="2"/>
  <c r="H9" i="2"/>
  <c r="D19" i="6"/>
  <c r="BI17" i="16"/>
  <c r="L11" i="14"/>
  <c r="E20" i="6"/>
  <c r="H16" i="2"/>
  <c r="T10" i="21"/>
  <c r="BD23" i="19"/>
  <c r="BB31" i="19"/>
  <c r="BE30" i="19"/>
  <c r="AT26" i="20"/>
  <c r="AP30" i="20"/>
  <c r="Y31" i="19"/>
  <c r="AG31" i="19"/>
  <c r="F17" i="17"/>
  <c r="AZ14" i="13"/>
  <c r="BM31" i="13"/>
  <c r="AD31" i="13"/>
  <c r="BE18" i="13"/>
  <c r="BG19" i="13"/>
  <c r="BG20" i="13"/>
  <c r="BE21" i="13"/>
  <c r="BD28" i="13"/>
  <c r="BC30" i="13"/>
  <c r="BG29" i="13"/>
  <c r="BB30" i="13"/>
  <c r="BF28" i="8"/>
  <c r="J28" i="7" s="1"/>
  <c r="BC30" i="8"/>
  <c r="AZ30" i="8"/>
  <c r="BB30" i="8"/>
  <c r="AO26" i="17"/>
  <c r="AJ31" i="8"/>
  <c r="AQ26" i="21"/>
  <c r="AN26" i="17"/>
  <c r="AH31" i="8"/>
  <c r="F12" i="10"/>
  <c r="J12" i="10"/>
  <c r="L12" i="10" s="1"/>
  <c r="AI26" i="11"/>
  <c r="D30" i="14"/>
  <c r="F12" i="2"/>
  <c r="E14" i="2"/>
  <c r="F14" i="2" s="1"/>
  <c r="I14" i="2"/>
  <c r="J14" i="2" s="1"/>
  <c r="L20" i="14"/>
  <c r="C18" i="6"/>
  <c r="AP19" i="11"/>
  <c r="AP12" i="11"/>
  <c r="AP10" i="11"/>
  <c r="AP14" i="17"/>
  <c r="BJ14" i="16"/>
  <c r="O31" i="8"/>
  <c r="AW23" i="21"/>
  <c r="BM23" i="16"/>
  <c r="H33" i="21"/>
  <c r="H29" i="2"/>
  <c r="B25" i="6"/>
  <c r="F18" i="2"/>
  <c r="J16" i="2"/>
  <c r="BE10" i="8"/>
  <c r="I10" i="7" s="1"/>
  <c r="G21" i="3"/>
  <c r="G12" i="3"/>
  <c r="W14" i="17"/>
  <c r="F16" i="16"/>
  <c r="BL16" i="16" s="1"/>
  <c r="F18" i="16"/>
  <c r="BL18" i="16" s="1"/>
  <c r="F16" i="17"/>
  <c r="AQ16" i="17" s="1"/>
  <c r="AV23" i="17"/>
  <c r="F11" i="16"/>
  <c r="BL11" i="16" s="1"/>
  <c r="C13" i="14"/>
  <c r="K13" i="14" s="1"/>
  <c r="C22" i="14"/>
  <c r="K22" i="14" s="1"/>
  <c r="C16" i="14"/>
  <c r="K16" i="14" s="1"/>
  <c r="C21" i="14"/>
  <c r="K21" i="14" s="1"/>
  <c r="D11" i="12"/>
  <c r="E12" i="12"/>
  <c r="AQ28" i="11"/>
  <c r="F11" i="11"/>
  <c r="AQ11" i="11" s="1"/>
  <c r="J9" i="7"/>
  <c r="J25" i="7"/>
  <c r="D21" i="6"/>
  <c r="H23" i="3"/>
  <c r="I23" i="3" s="1"/>
  <c r="D9" i="6"/>
  <c r="J9" i="12" s="1"/>
  <c r="I29" i="3"/>
  <c r="D20" i="6"/>
  <c r="D18" i="6"/>
  <c r="J18" i="12" s="1"/>
  <c r="F29" i="2"/>
  <c r="AL29" i="11"/>
  <c r="L12" i="14"/>
  <c r="AM12" i="11"/>
  <c r="G14" i="2"/>
  <c r="D12" i="2"/>
  <c r="AO12" i="11"/>
  <c r="E12" i="6"/>
  <c r="D10" i="2"/>
  <c r="AO10" i="11"/>
  <c r="E10" i="6"/>
  <c r="L13" i="14"/>
  <c r="J13" i="2"/>
  <c r="D19" i="2"/>
  <c r="AO19" i="11"/>
  <c r="C23" i="2"/>
  <c r="D23" i="2" s="1"/>
  <c r="I9" i="7"/>
  <c r="H16" i="7"/>
  <c r="K10" i="7"/>
  <c r="H25" i="7"/>
  <c r="AN20" i="11"/>
  <c r="J12" i="7"/>
  <c r="I23" i="2"/>
  <c r="J23" i="2" s="1"/>
  <c r="B12" i="6"/>
  <c r="F20" i="2"/>
  <c r="C11" i="6"/>
  <c r="AM25" i="11"/>
  <c r="E17" i="6"/>
  <c r="D17" i="2"/>
  <c r="L9" i="14"/>
  <c r="C29" i="6"/>
  <c r="I29" i="12" s="1"/>
  <c r="AL10" i="11"/>
  <c r="C10" i="6"/>
  <c r="C9" i="6"/>
  <c r="E16" i="6"/>
  <c r="K16" i="12" s="1"/>
  <c r="E23" i="2"/>
  <c r="F23" i="2" s="1"/>
  <c r="F16" i="2"/>
  <c r="AL22" i="11"/>
  <c r="H20" i="2"/>
  <c r="H18" i="7"/>
  <c r="AN18" i="11"/>
  <c r="H18" i="2"/>
  <c r="BI16" i="16"/>
  <c r="G23" i="2"/>
  <c r="AM22" i="11"/>
  <c r="J20" i="2"/>
  <c r="AM20" i="11"/>
  <c r="C20" i="6"/>
  <c r="AO18" i="17"/>
  <c r="L18" i="14"/>
  <c r="L16" i="14"/>
  <c r="C16" i="6"/>
  <c r="H31" i="21"/>
  <c r="AF14" i="21"/>
  <c r="AF31" i="21" s="1"/>
  <c r="N31" i="19"/>
  <c r="Z31" i="19"/>
  <c r="AJ31" i="19"/>
  <c r="AT31" i="19"/>
  <c r="CJ31" i="19"/>
  <c r="I31" i="19"/>
  <c r="AO14" i="20"/>
  <c r="M31" i="19"/>
  <c r="U31" i="19"/>
  <c r="AC31" i="19"/>
  <c r="AK31" i="19"/>
  <c r="AO31" i="19"/>
  <c r="AS31" i="19"/>
  <c r="AR14" i="20"/>
  <c r="CK31" i="19"/>
  <c r="T31" i="19"/>
  <c r="AL26" i="17"/>
  <c r="AM26" i="17"/>
  <c r="F18" i="17"/>
  <c r="AQ18" i="17" s="1"/>
  <c r="AL14" i="16"/>
  <c r="AL31" i="16" s="1"/>
  <c r="BN23" i="16"/>
  <c r="BN31" i="16" s="1"/>
  <c r="H23" i="16"/>
  <c r="AB31" i="13"/>
  <c r="X31" i="13"/>
  <c r="BK31" i="13"/>
  <c r="BH31" i="13"/>
  <c r="AO31" i="13"/>
  <c r="AE31" i="13"/>
  <c r="AA31" i="13"/>
  <c r="Y31" i="13"/>
  <c r="W31" i="13"/>
  <c r="BD10" i="13"/>
  <c r="AZ26" i="13"/>
  <c r="BB26" i="13"/>
  <c r="BA26" i="13"/>
  <c r="BF13" i="13"/>
  <c r="BG12" i="13"/>
  <c r="BE12" i="13"/>
  <c r="C14" i="5"/>
  <c r="E30" i="14"/>
  <c r="D26" i="14"/>
  <c r="AH14" i="16"/>
  <c r="AJ14" i="16"/>
  <c r="U26" i="16"/>
  <c r="J19" i="10"/>
  <c r="L19" i="10" s="1"/>
  <c r="J18" i="10"/>
  <c r="L18" i="10" s="1"/>
  <c r="J17" i="10"/>
  <c r="L17" i="10" s="1"/>
  <c r="AP26" i="17"/>
  <c r="AL31" i="8"/>
  <c r="X31" i="8"/>
  <c r="AW26" i="21"/>
  <c r="F26" i="12"/>
  <c r="D26" i="12"/>
  <c r="BE22" i="8"/>
  <c r="I22" i="7" s="1"/>
  <c r="BE18" i="8"/>
  <c r="BG18" i="8"/>
  <c r="K18" i="7" s="1"/>
  <c r="BE13" i="8"/>
  <c r="F10" i="2"/>
  <c r="E21" i="6"/>
  <c r="AO17" i="11"/>
  <c r="AO18" i="11"/>
  <c r="Y25" i="11"/>
  <c r="Y18" i="11"/>
  <c r="AP21" i="11"/>
  <c r="AP25" i="11"/>
  <c r="AP22" i="11"/>
  <c r="AP20" i="11"/>
  <c r="R30" i="11"/>
  <c r="Y12" i="11"/>
  <c r="Y21" i="11"/>
  <c r="Y28" i="11"/>
  <c r="Z26" i="11"/>
  <c r="AF26" i="11"/>
  <c r="AP14" i="21"/>
  <c r="AR14" i="11"/>
  <c r="G23" i="7"/>
  <c r="I20" i="3"/>
  <c r="I13" i="3"/>
  <c r="AS30" i="16"/>
  <c r="AE14" i="17"/>
  <c r="AQ21" i="17"/>
  <c r="AT31" i="8"/>
  <c r="F11" i="17"/>
  <c r="AQ11" i="17" s="1"/>
  <c r="J30" i="17"/>
  <c r="G9" i="12"/>
  <c r="F16" i="11"/>
  <c r="AQ16" i="11" s="1"/>
  <c r="F18" i="11"/>
  <c r="AQ18" i="11" s="1"/>
  <c r="F9" i="11"/>
  <c r="F11" i="12"/>
  <c r="AP16" i="11"/>
  <c r="AC20" i="11"/>
  <c r="F30" i="3"/>
  <c r="G30" i="3" s="1"/>
  <c r="E19" i="3"/>
  <c r="AN17" i="11"/>
  <c r="AN16" i="11"/>
  <c r="J21" i="10"/>
  <c r="L21" i="10" s="1"/>
  <c r="J25" i="10"/>
  <c r="L25" i="10" s="1"/>
  <c r="E26" i="2"/>
  <c r="F26" i="2" s="1"/>
  <c r="AN25" i="11"/>
  <c r="AL25" i="11"/>
  <c r="L25" i="14"/>
  <c r="C26" i="2"/>
  <c r="D26" i="2" s="1"/>
  <c r="F19" i="2"/>
  <c r="H19" i="2"/>
  <c r="D10" i="6"/>
  <c r="B10" i="6"/>
  <c r="AN10" i="11"/>
  <c r="C13" i="6"/>
  <c r="AO13" i="17"/>
  <c r="J9" i="2"/>
  <c r="B22" i="6"/>
  <c r="AN22" i="11"/>
  <c r="L22" i="14"/>
  <c r="C22" i="6"/>
  <c r="J22" i="2"/>
  <c r="J20" i="7"/>
  <c r="BC33" i="21"/>
  <c r="BE14" i="19"/>
  <c r="Q31" i="19"/>
  <c r="X31" i="19"/>
  <c r="AF31" i="19"/>
  <c r="AN31" i="19"/>
  <c r="BI31" i="19"/>
  <c r="AY31" i="19"/>
  <c r="AP14" i="20"/>
  <c r="AT30" i="20"/>
  <c r="BC31" i="19"/>
  <c r="BF30" i="19"/>
  <c r="AL31" i="19"/>
  <c r="AR31" i="19"/>
  <c r="EL31" i="19"/>
  <c r="AO26" i="20"/>
  <c r="S31" i="19"/>
  <c r="AA31" i="19"/>
  <c r="AI31" i="19"/>
  <c r="BK31" i="19"/>
  <c r="AR26" i="20"/>
  <c r="AO30" i="20"/>
  <c r="CL31" i="19"/>
  <c r="M14" i="21"/>
  <c r="M31" i="21" s="1"/>
  <c r="AM14" i="21"/>
  <c r="ER31" i="19"/>
  <c r="AP31" i="19"/>
  <c r="AM31" i="19"/>
  <c r="E26" i="17"/>
  <c r="H32" i="20"/>
  <c r="AK32" i="20"/>
  <c r="G26" i="14"/>
  <c r="U10" i="11"/>
  <c r="AD32" i="20"/>
  <c r="AU32" i="20"/>
  <c r="U12" i="11"/>
  <c r="AX32" i="20"/>
  <c r="W32" i="20"/>
  <c r="U18" i="11"/>
  <c r="AF32" i="20"/>
  <c r="AP32" i="20"/>
  <c r="AG32" i="20"/>
  <c r="AQ32" i="20"/>
  <c r="AE32" i="20"/>
  <c r="AO32" i="20"/>
  <c r="U17" i="11"/>
  <c r="T32" i="21"/>
  <c r="F32" i="20"/>
  <c r="M32" i="20"/>
  <c r="P32" i="20"/>
  <c r="J32" i="20"/>
  <c r="AZ32" i="20"/>
  <c r="O10" i="11"/>
  <c r="AL32" i="20"/>
  <c r="O17" i="11"/>
  <c r="Z32" i="20"/>
  <c r="T32" i="20"/>
  <c r="AM32" i="20"/>
  <c r="Q32" i="20"/>
  <c r="W32" i="21"/>
  <c r="E32" i="20"/>
  <c r="AV32" i="20"/>
  <c r="O32" i="20"/>
  <c r="AQ32" i="21"/>
  <c r="Y32" i="20"/>
  <c r="L32" i="20"/>
  <c r="AJ32" i="20"/>
  <c r="AH32" i="20"/>
  <c r="I32" i="20"/>
  <c r="O18" i="11"/>
  <c r="AB32" i="20"/>
  <c r="AI32" i="20"/>
  <c r="S32" i="20"/>
  <c r="R32" i="20"/>
  <c r="N32" i="20"/>
  <c r="AA32" i="20"/>
  <c r="G14" i="14"/>
  <c r="AC32" i="20"/>
  <c r="AN32" i="20"/>
  <c r="AQ14" i="21" l="1"/>
  <c r="AO9" i="17"/>
  <c r="AM13" i="11"/>
  <c r="AM16" i="11"/>
  <c r="X14" i="17"/>
  <c r="AO16" i="17"/>
  <c r="BH26" i="16"/>
  <c r="V10" i="21"/>
  <c r="V14" i="21" s="1"/>
  <c r="V31" i="21" s="1"/>
  <c r="AO17" i="17"/>
  <c r="AO12" i="17"/>
  <c r="AM11" i="11"/>
  <c r="AO21" i="17"/>
  <c r="AO10" i="17"/>
  <c r="AO30" i="17"/>
  <c r="AP23" i="20"/>
  <c r="AP30" i="21"/>
  <c r="X14" i="20"/>
  <c r="AM17" i="11"/>
  <c r="S13" i="17"/>
  <c r="V16" i="20"/>
  <c r="V23" i="20" s="1"/>
  <c r="V26" i="20" s="1"/>
  <c r="V19" i="16"/>
  <c r="V10" i="16"/>
  <c r="AA12" i="21"/>
  <c r="X19" i="20"/>
  <c r="T18" i="20"/>
  <c r="AA16" i="16"/>
  <c r="X13" i="17"/>
  <c r="AA17" i="16"/>
  <c r="AA25" i="16"/>
  <c r="T28" i="11"/>
  <c r="T19" i="11"/>
  <c r="R22" i="14"/>
  <c r="R11" i="14"/>
  <c r="S21" i="14"/>
  <c r="V21" i="14" s="1"/>
  <c r="S10" i="14"/>
  <c r="V10" i="14" s="1"/>
  <c r="X22" i="16"/>
  <c r="X12" i="16"/>
  <c r="X9" i="16"/>
  <c r="X31" i="16" s="1"/>
  <c r="AZ28" i="11"/>
  <c r="S22" i="17"/>
  <c r="X17" i="20"/>
  <c r="U10" i="21"/>
  <c r="X11" i="17"/>
  <c r="X21" i="17"/>
  <c r="X17" i="17"/>
  <c r="X25" i="17"/>
  <c r="T16" i="11"/>
  <c r="S9" i="14"/>
  <c r="V9" i="14" s="1"/>
  <c r="T11" i="11"/>
  <c r="T25" i="11"/>
  <c r="T13" i="11"/>
  <c r="R29" i="14"/>
  <c r="R19" i="14"/>
  <c r="R12" i="14"/>
  <c r="S29" i="14"/>
  <c r="V29" i="14" s="1"/>
  <c r="S19" i="14"/>
  <c r="V19" i="14" s="1"/>
  <c r="AZ21" i="11"/>
  <c r="V22" i="11"/>
  <c r="V29" i="11"/>
  <c r="BH28" i="16"/>
  <c r="S28" i="14"/>
  <c r="V28" i="14" s="1"/>
  <c r="BI18" i="11"/>
  <c r="BH20" i="11"/>
  <c r="V28" i="11"/>
  <c r="BK25" i="11"/>
  <c r="BM25" i="11"/>
  <c r="Q10" i="21"/>
  <c r="BI10" i="11"/>
  <c r="BG29" i="11"/>
  <c r="S9" i="17"/>
  <c r="AZ29" i="11"/>
  <c r="S18" i="16"/>
  <c r="BF25" i="11"/>
  <c r="BK12" i="11"/>
  <c r="BI28" i="11"/>
  <c r="BL18" i="11"/>
  <c r="BJ19" i="11"/>
  <c r="BF19" i="11"/>
  <c r="BH18" i="16"/>
  <c r="BL9" i="11"/>
  <c r="P9" i="11" s="1"/>
  <c r="BH21" i="16"/>
  <c r="BF11" i="11"/>
  <c r="K9" i="12"/>
  <c r="BH9" i="16"/>
  <c r="V16" i="11"/>
  <c r="BF13" i="11"/>
  <c r="BG25" i="11"/>
  <c r="BH16" i="16"/>
  <c r="Q18" i="20"/>
  <c r="Q23" i="20" s="1"/>
  <c r="BF28" i="11"/>
  <c r="BF18" i="11"/>
  <c r="BG20" i="11"/>
  <c r="BG22" i="11"/>
  <c r="BK29" i="11"/>
  <c r="AZ19" i="11"/>
  <c r="BK21" i="11"/>
  <c r="V11" i="11"/>
  <c r="BI25" i="11"/>
  <c r="BM12" i="11"/>
  <c r="V13" i="11"/>
  <c r="V9" i="11"/>
  <c r="BI19" i="11"/>
  <c r="BJ16" i="11"/>
  <c r="AP22" i="20"/>
  <c r="AP16" i="20"/>
  <c r="AZ13" i="11"/>
  <c r="V20" i="11"/>
  <c r="BL25" i="11"/>
  <c r="P25" i="11" s="1"/>
  <c r="BG19" i="11"/>
  <c r="AZ9" i="11"/>
  <c r="AP26" i="21"/>
  <c r="BM20" i="11"/>
  <c r="AP18" i="20"/>
  <c r="BJ28" i="11"/>
  <c r="BG21" i="11"/>
  <c r="BU28" i="17"/>
  <c r="BU25" i="17"/>
  <c r="BU11" i="17"/>
  <c r="BV28" i="16"/>
  <c r="BW9" i="20"/>
  <c r="BW33" i="20" s="1"/>
  <c r="BV13" i="16"/>
  <c r="BU21" i="17"/>
  <c r="BW13" i="20"/>
  <c r="BV17" i="16"/>
  <c r="BV21" i="16"/>
  <c r="BW17" i="20"/>
  <c r="BU29" i="17"/>
  <c r="BV25" i="16"/>
  <c r="BV11" i="16"/>
  <c r="BW16" i="20"/>
  <c r="BU20" i="17"/>
  <c r="U10" i="17"/>
  <c r="BW29" i="20"/>
  <c r="BV10" i="16"/>
  <c r="BW22" i="20"/>
  <c r="BU18" i="17"/>
  <c r="BV29" i="16"/>
  <c r="S11" i="17"/>
  <c r="BU17" i="17"/>
  <c r="BV20" i="16"/>
  <c r="AZ22" i="11"/>
  <c r="AA20" i="16"/>
  <c r="R28" i="14"/>
  <c r="AZ17" i="11"/>
  <c r="X16" i="17"/>
  <c r="BF20" i="11"/>
  <c r="T17" i="11"/>
  <c r="S16" i="16"/>
  <c r="S23" i="16" s="1"/>
  <c r="S31" i="16" s="1"/>
  <c r="P16" i="17"/>
  <c r="P23" i="17" s="1"/>
  <c r="P31" i="17" s="1"/>
  <c r="BL20" i="11"/>
  <c r="Q20" i="11" s="1"/>
  <c r="BF12" i="11"/>
  <c r="BL16" i="11"/>
  <c r="Q16" i="11" s="1"/>
  <c r="BH25" i="16"/>
  <c r="BH21" i="11"/>
  <c r="BK20" i="11"/>
  <c r="AZ25" i="11"/>
  <c r="AZ30" i="11" s="1"/>
  <c r="BJ10" i="11"/>
  <c r="BK17" i="11"/>
  <c r="Q16" i="17"/>
  <c r="BM18" i="11"/>
  <c r="BF16" i="11"/>
  <c r="BH17" i="11"/>
  <c r="BH23" i="11" s="1"/>
  <c r="BL22" i="11"/>
  <c r="AQ12" i="21"/>
  <c r="BI22" i="11"/>
  <c r="BH25" i="11"/>
  <c r="BK10" i="11"/>
  <c r="BL19" i="11"/>
  <c r="BJ18" i="11"/>
  <c r="BM17" i="11"/>
  <c r="BF21" i="11"/>
  <c r="BF17" i="11"/>
  <c r="P17" i="11" s="1"/>
  <c r="BL12" i="11"/>
  <c r="BK11" i="11"/>
  <c r="AP10" i="21"/>
  <c r="BH20" i="16"/>
  <c r="BH22" i="16"/>
  <c r="BJ20" i="11"/>
  <c r="BH13" i="11"/>
  <c r="BH18" i="11"/>
  <c r="T18" i="16"/>
  <c r="BL29" i="11"/>
  <c r="P29" i="11" s="1"/>
  <c r="T16" i="16"/>
  <c r="BW20" i="20"/>
  <c r="BV19" i="16"/>
  <c r="BV18" i="16"/>
  <c r="BW18" i="20"/>
  <c r="BV12" i="16"/>
  <c r="BW12" i="20"/>
  <c r="BV16" i="16"/>
  <c r="BV23" i="16" s="1"/>
  <c r="BV26" i="16" s="1"/>
  <c r="BV30" i="16" s="1"/>
  <c r="BW11" i="20"/>
  <c r="S21" i="17"/>
  <c r="BW28" i="20"/>
  <c r="BU13" i="17"/>
  <c r="BW21" i="20"/>
  <c r="BV9" i="16"/>
  <c r="BV14" i="16" s="1"/>
  <c r="AA29" i="16"/>
  <c r="AA18" i="16"/>
  <c r="AZ12" i="11"/>
  <c r="AZ11" i="11"/>
  <c r="Q18" i="17"/>
  <c r="BH10" i="11"/>
  <c r="AQ10" i="21"/>
  <c r="AO29" i="17"/>
  <c r="S10" i="17"/>
  <c r="BI29" i="11"/>
  <c r="BG17" i="11"/>
  <c r="BM21" i="11"/>
  <c r="P21" i="11" s="1"/>
  <c r="AO25" i="17"/>
  <c r="BJ17" i="11"/>
  <c r="BI21" i="11"/>
  <c r="L22" i="2"/>
  <c r="L29" i="2"/>
  <c r="L16" i="2"/>
  <c r="L17" i="2"/>
  <c r="X19" i="16"/>
  <c r="L18" i="2"/>
  <c r="L20" i="2"/>
  <c r="AA11" i="16"/>
  <c r="L21" i="2"/>
  <c r="AA9" i="16"/>
  <c r="V9" i="16"/>
  <c r="AP17" i="20"/>
  <c r="BJ22" i="11"/>
  <c r="BG10" i="11"/>
  <c r="V11" i="16"/>
  <c r="V25" i="11"/>
  <c r="BF10" i="11"/>
  <c r="Q10" i="11" s="1"/>
  <c r="AZ18" i="11"/>
  <c r="AP21" i="20"/>
  <c r="BJ11" i="11"/>
  <c r="R10" i="21"/>
  <c r="R14" i="21" s="1"/>
  <c r="R31" i="21" s="1"/>
  <c r="BG16" i="11"/>
  <c r="BL13" i="11"/>
  <c r="BM16" i="11"/>
  <c r="AO28" i="17"/>
  <c r="BJ25" i="11"/>
  <c r="AZ16" i="11"/>
  <c r="AZ23" i="11" s="1"/>
  <c r="AZ26" i="11" s="1"/>
  <c r="BU16" i="17"/>
  <c r="BW19" i="20"/>
  <c r="X20" i="16"/>
  <c r="BU10" i="17"/>
  <c r="BW25" i="20"/>
  <c r="BU22" i="17"/>
  <c r="X21" i="16"/>
  <c r="BU9" i="17"/>
  <c r="BU33" i="17" s="1"/>
  <c r="BU19" i="17"/>
  <c r="BW10" i="20"/>
  <c r="BV22" i="16"/>
  <c r="BU12" i="17"/>
  <c r="S25" i="17"/>
  <c r="AZ20" i="11"/>
  <c r="BG12" i="11"/>
  <c r="BI9" i="11"/>
  <c r="BL10" i="11"/>
  <c r="BH11" i="11"/>
  <c r="BM9" i="11"/>
  <c r="BK22" i="11"/>
  <c r="L28" i="2"/>
  <c r="X21" i="20"/>
  <c r="S16" i="17"/>
  <c r="L12" i="2"/>
  <c r="L13" i="2"/>
  <c r="U9" i="17"/>
  <c r="U31" i="17" s="1"/>
  <c r="X13" i="16"/>
  <c r="S11" i="14"/>
  <c r="V11" i="14" s="1"/>
  <c r="BI20" i="11"/>
  <c r="BL28" i="11"/>
  <c r="BH10" i="16"/>
  <c r="S18" i="17"/>
  <c r="BH12" i="16"/>
  <c r="BL17" i="11"/>
  <c r="BH22" i="11"/>
  <c r="L10" i="2"/>
  <c r="S17" i="17"/>
  <c r="L25" i="2"/>
  <c r="X10" i="21"/>
  <c r="L19" i="2"/>
  <c r="L9" i="2"/>
  <c r="V25" i="16"/>
  <c r="BF23" i="13"/>
  <c r="I16" i="12"/>
  <c r="N26" i="11"/>
  <c r="Q26" i="11" s="1"/>
  <c r="AB33" i="21"/>
  <c r="I12" i="12"/>
  <c r="BE26" i="13"/>
  <c r="K10" i="12"/>
  <c r="I13" i="12"/>
  <c r="I10" i="12"/>
  <c r="I11" i="12"/>
  <c r="C14" i="6"/>
  <c r="BB26" i="16"/>
  <c r="W23" i="16"/>
  <c r="W26" i="16" s="1"/>
  <c r="W30" i="16" s="1"/>
  <c r="AI31" i="13"/>
  <c r="L31" i="13"/>
  <c r="N31" i="13"/>
  <c r="BC26" i="13"/>
  <c r="BD18" i="13"/>
  <c r="BA14" i="13"/>
  <c r="BF14" i="13" s="1"/>
  <c r="BA30" i="13"/>
  <c r="BE22" i="13"/>
  <c r="BE29" i="13"/>
  <c r="BD22" i="13"/>
  <c r="AK31" i="13"/>
  <c r="BG13" i="13"/>
  <c r="BE20" i="13"/>
  <c r="BF21" i="13"/>
  <c r="BF29" i="13"/>
  <c r="BE10" i="13"/>
  <c r="BF20" i="13"/>
  <c r="AO28" i="11"/>
  <c r="J20" i="12"/>
  <c r="J28" i="10"/>
  <c r="L28" i="10" s="1"/>
  <c r="J19" i="12"/>
  <c r="AL28" i="11"/>
  <c r="I9" i="12"/>
  <c r="H26" i="3"/>
  <c r="I26" i="3" s="1"/>
  <c r="D26" i="3"/>
  <c r="E26" i="3" s="1"/>
  <c r="J19" i="7"/>
  <c r="E26" i="12"/>
  <c r="C26" i="7"/>
  <c r="BD19" i="8"/>
  <c r="H19" i="7" s="1"/>
  <c r="BE19" i="8"/>
  <c r="I19" i="7" s="1"/>
  <c r="BG19" i="8"/>
  <c r="K29" i="7"/>
  <c r="AK30" i="11"/>
  <c r="AG30" i="11"/>
  <c r="AI23" i="11"/>
  <c r="AE14" i="11"/>
  <c r="AG14" i="11"/>
  <c r="U31" i="8"/>
  <c r="Q31" i="8"/>
  <c r="AU26" i="21"/>
  <c r="H25" i="2"/>
  <c r="J22" i="10"/>
  <c r="L22" i="10" s="1"/>
  <c r="J10" i="10"/>
  <c r="L10" i="10" s="1"/>
  <c r="J9" i="10"/>
  <c r="L9" i="10" s="1"/>
  <c r="D14" i="5"/>
  <c r="G12" i="12"/>
  <c r="E11" i="12"/>
  <c r="F9" i="12"/>
  <c r="G30" i="12"/>
  <c r="BG30" i="16"/>
  <c r="F26" i="7"/>
  <c r="BB26" i="8"/>
  <c r="BE26" i="8" s="1"/>
  <c r="BG22" i="8"/>
  <c r="K22" i="7" s="1"/>
  <c r="BF11" i="8"/>
  <c r="J11" i="7" s="1"/>
  <c r="C20" i="14"/>
  <c r="K20" i="14" s="1"/>
  <c r="BD11" i="8"/>
  <c r="H11" i="7" s="1"/>
  <c r="BG17" i="8"/>
  <c r="K17" i="7" s="1"/>
  <c r="AH14" i="11"/>
  <c r="E18" i="6"/>
  <c r="N14" i="17"/>
  <c r="K14" i="17"/>
  <c r="J14" i="17"/>
  <c r="K23" i="17"/>
  <c r="AF14" i="17"/>
  <c r="AX33" i="17"/>
  <c r="I30" i="17"/>
  <c r="AQ22" i="17"/>
  <c r="AQ10" i="17"/>
  <c r="K30" i="17"/>
  <c r="U30" i="16"/>
  <c r="AL16" i="11"/>
  <c r="W30" i="11"/>
  <c r="F17" i="11"/>
  <c r="F23" i="11" s="1"/>
  <c r="AV14" i="11"/>
  <c r="AX33" i="11"/>
  <c r="AA14" i="11"/>
  <c r="AC12" i="11"/>
  <c r="AB23" i="11"/>
  <c r="AD26" i="11"/>
  <c r="AQ22" i="11"/>
  <c r="I23" i="11"/>
  <c r="N12" i="11"/>
  <c r="L23" i="11"/>
  <c r="L26" i="11"/>
  <c r="H23" i="12"/>
  <c r="H33" i="12" s="1"/>
  <c r="I28" i="3"/>
  <c r="I22" i="3"/>
  <c r="E20" i="3"/>
  <c r="E18" i="3"/>
  <c r="I16" i="3"/>
  <c r="G10" i="3"/>
  <c r="AO26" i="16"/>
  <c r="AB26" i="16"/>
  <c r="BF26" i="16"/>
  <c r="AG26" i="17"/>
  <c r="BL29" i="16"/>
  <c r="BF30" i="16"/>
  <c r="AV14" i="16"/>
  <c r="AG14" i="17"/>
  <c r="AJ23" i="17"/>
  <c r="AJ14" i="17"/>
  <c r="AK23" i="17"/>
  <c r="AK14" i="17"/>
  <c r="AL14" i="17"/>
  <c r="AM14" i="17"/>
  <c r="AV14" i="17"/>
  <c r="AV31" i="17" s="1"/>
  <c r="AT31" i="17"/>
  <c r="G14" i="16"/>
  <c r="EM31" i="8"/>
  <c r="G14" i="21"/>
  <c r="G33" i="21" s="1"/>
  <c r="E14" i="21"/>
  <c r="N14" i="21"/>
  <c r="N31" i="21" s="1"/>
  <c r="O14" i="21"/>
  <c r="O31" i="21" s="1"/>
  <c r="AG14" i="21"/>
  <c r="AG31" i="21" s="1"/>
  <c r="AL14" i="21"/>
  <c r="AL33" i="21" s="1"/>
  <c r="AN14" i="21"/>
  <c r="AN31" i="21" s="1"/>
  <c r="AY14" i="21"/>
  <c r="BA33" i="21"/>
  <c r="AT10" i="21"/>
  <c r="C18" i="14"/>
  <c r="K18" i="14" s="1"/>
  <c r="F30" i="14"/>
  <c r="C25" i="14"/>
  <c r="K25" i="14" s="1"/>
  <c r="F12" i="12"/>
  <c r="D12" i="12"/>
  <c r="AJ30" i="11"/>
  <c r="AE30" i="11"/>
  <c r="G30" i="11"/>
  <c r="AJ26" i="11"/>
  <c r="AE26" i="11"/>
  <c r="G26" i="11"/>
  <c r="AS14" i="11"/>
  <c r="AS23" i="11"/>
  <c r="E14" i="11"/>
  <c r="AH23" i="11"/>
  <c r="AH26" i="11"/>
  <c r="AH30" i="11"/>
  <c r="AC25" i="11"/>
  <c r="AC26" i="11" s="1"/>
  <c r="S14" i="11"/>
  <c r="T14" i="11" s="1"/>
  <c r="AQ25" i="11"/>
  <c r="AI14" i="11"/>
  <c r="AU14" i="11"/>
  <c r="AP18" i="11"/>
  <c r="AT14" i="11"/>
  <c r="AV23" i="11"/>
  <c r="AV26" i="11" s="1"/>
  <c r="R14" i="11"/>
  <c r="R26" i="11"/>
  <c r="Y19" i="11"/>
  <c r="X26" i="11"/>
  <c r="Z14" i="11"/>
  <c r="AD14" i="11"/>
  <c r="AF23" i="11"/>
  <c r="AF14" i="11"/>
  <c r="I14" i="11"/>
  <c r="J23" i="11"/>
  <c r="J30" i="11"/>
  <c r="L30" i="11"/>
  <c r="AC16" i="11"/>
  <c r="AY14" i="11"/>
  <c r="AY23" i="11"/>
  <c r="AY26" i="11" s="1"/>
  <c r="AY30" i="11" s="1"/>
  <c r="D30" i="5"/>
  <c r="D26" i="5"/>
  <c r="C23" i="5"/>
  <c r="B14" i="5"/>
  <c r="D12" i="6"/>
  <c r="J12" i="12" s="1"/>
  <c r="AN12" i="11"/>
  <c r="AN19" i="11"/>
  <c r="D17" i="6"/>
  <c r="J17" i="12" s="1"/>
  <c r="E17" i="3"/>
  <c r="BI21" i="16"/>
  <c r="BI23" i="16" s="1"/>
  <c r="AN21" i="11"/>
  <c r="E22" i="3"/>
  <c r="G25" i="3"/>
  <c r="I18" i="3"/>
  <c r="J21" i="7"/>
  <c r="J13" i="10"/>
  <c r="L13" i="10" s="1"/>
  <c r="J16" i="10"/>
  <c r="L16" i="10" s="1"/>
  <c r="AM14" i="11"/>
  <c r="AO29" i="11"/>
  <c r="B28" i="6"/>
  <c r="D13" i="2"/>
  <c r="AO13" i="11"/>
  <c r="I13" i="7"/>
  <c r="L10" i="14"/>
  <c r="J10" i="2"/>
  <c r="E30" i="2"/>
  <c r="H28" i="7"/>
  <c r="F30" i="2"/>
  <c r="D13" i="6"/>
  <c r="J13" i="12" s="1"/>
  <c r="B13" i="6"/>
  <c r="J13" i="7"/>
  <c r="AL21" i="11"/>
  <c r="AO21" i="11"/>
  <c r="E22" i="6"/>
  <c r="E19" i="6"/>
  <c r="K19" i="12" s="1"/>
  <c r="AO22" i="11"/>
  <c r="K19" i="7"/>
  <c r="D16" i="6"/>
  <c r="J16" i="12" s="1"/>
  <c r="H17" i="7"/>
  <c r="H13" i="2"/>
  <c r="I18" i="7"/>
  <c r="L19" i="14"/>
  <c r="M30" i="2"/>
  <c r="M31" i="2" s="1"/>
  <c r="U14" i="16"/>
  <c r="F26" i="16"/>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AP31" i="16" s="1"/>
  <c r="BD14" i="16"/>
  <c r="Q26" i="16"/>
  <c r="K31" i="13"/>
  <c r="D14" i="14"/>
  <c r="G14" i="11"/>
  <c r="D14" i="12" s="1"/>
  <c r="C14" i="2"/>
  <c r="C31" i="2" s="1"/>
  <c r="G14" i="17"/>
  <c r="BH14" i="16"/>
  <c r="E14" i="7"/>
  <c r="AA14" i="17"/>
  <c r="BG14" i="16"/>
  <c r="G14" i="7"/>
  <c r="K14" i="2"/>
  <c r="K31" i="2" s="1"/>
  <c r="T14" i="17"/>
  <c r="BH23" i="16"/>
  <c r="BG23" i="16"/>
  <c r="F23" i="12"/>
  <c r="AP23" i="21"/>
  <c r="D23" i="14"/>
  <c r="G23" i="11"/>
  <c r="AV30" i="21"/>
  <c r="AR30" i="21" s="1"/>
  <c r="AB30" i="11"/>
  <c r="C30" i="5"/>
  <c r="AR30" i="11"/>
  <c r="AW30" i="21"/>
  <c r="BM30" i="16"/>
  <c r="B30" i="5"/>
  <c r="B31" i="7"/>
  <c r="B14" i="6"/>
  <c r="H14" i="2"/>
  <c r="AL14" i="11"/>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AM30" i="17"/>
  <c r="K26" i="17"/>
  <c r="AT30" i="16"/>
  <c r="AC30" i="16"/>
  <c r="AC26" i="16"/>
  <c r="BA26" i="16"/>
  <c r="AY26" i="16"/>
  <c r="AU26" i="16"/>
  <c r="J14" i="16"/>
  <c r="F9" i="16"/>
  <c r="BL9" i="16" s="1"/>
  <c r="AC23" i="16"/>
  <c r="BP33" i="16"/>
  <c r="BE30" i="16"/>
  <c r="AZ23" i="16"/>
  <c r="J23" i="16"/>
  <c r="J30" i="16"/>
  <c r="BS23" i="16"/>
  <c r="BS26" i="16" s="1"/>
  <c r="AD14" i="16"/>
  <c r="AD31" i="16" s="1"/>
  <c r="Q14" i="16"/>
  <c r="R30" i="16"/>
  <c r="I30" i="16"/>
  <c r="AS23" i="16"/>
  <c r="AZ14" i="16"/>
  <c r="AN26" i="16"/>
  <c r="AN31" i="16" s="1"/>
  <c r="AW31" i="11"/>
  <c r="Q17" i="11"/>
  <c r="F30" i="11"/>
  <c r="Y13" i="11"/>
  <c r="Y14" i="11" s="1"/>
  <c r="W26" i="11"/>
  <c r="AP13" i="11"/>
  <c r="AC17" i="11"/>
  <c r="M26" i="11"/>
  <c r="K14" i="11"/>
  <c r="N22" i="11"/>
  <c r="N23" i="11" s="1"/>
  <c r="Q23" i="11" s="1"/>
  <c r="P12" i="11"/>
  <c r="AZ10" i="11"/>
  <c r="AT23" i="11"/>
  <c r="AT26" i="11" s="1"/>
  <c r="M14" i="11"/>
  <c r="L14" i="11"/>
  <c r="AP17" i="11"/>
  <c r="Z23" i="11"/>
  <c r="AB14" i="11"/>
  <c r="AQ13" i="11"/>
  <c r="M30" i="11"/>
  <c r="AI30" i="11"/>
  <c r="AK26" i="11"/>
  <c r="W23" i="11"/>
  <c r="Y17" i="11"/>
  <c r="X23" i="11"/>
  <c r="AC9" i="11"/>
  <c r="F26" i="11"/>
  <c r="H14" i="11"/>
  <c r="E14" i="12" s="1"/>
  <c r="Y30" i="11"/>
  <c r="K30" i="11"/>
  <c r="S23" i="11"/>
  <c r="H23" i="11"/>
  <c r="X14" i="11"/>
  <c r="H30" i="11"/>
  <c r="AB26" i="11"/>
  <c r="N30" i="11"/>
  <c r="Q30" i="11" s="1"/>
  <c r="AA23" i="11"/>
  <c r="M23" i="11"/>
  <c r="Y26" i="11"/>
  <c r="C17" i="14"/>
  <c r="K17" i="14" s="1"/>
  <c r="F26" i="14"/>
  <c r="H26" i="2"/>
  <c r="J17" i="7"/>
  <c r="D28" i="6"/>
  <c r="J28" i="12" s="1"/>
  <c r="D30" i="3"/>
  <c r="E30" i="3" s="1"/>
  <c r="AN28" i="11"/>
  <c r="F23" i="3"/>
  <c r="G23" i="3" s="1"/>
  <c r="H14" i="3"/>
  <c r="AL26" i="11"/>
  <c r="E23" i="6"/>
  <c r="AO26" i="11"/>
  <c r="F20" i="10"/>
  <c r="J20" i="10"/>
  <c r="L20" i="10" s="1"/>
  <c r="P16" i="11"/>
  <c r="K12" i="12"/>
  <c r="AJ23" i="11"/>
  <c r="D23" i="5"/>
  <c r="P18" i="11"/>
  <c r="D25" i="2"/>
  <c r="E25" i="6"/>
  <c r="K25" i="12" s="1"/>
  <c r="AO25" i="11"/>
  <c r="F17" i="2"/>
  <c r="H17" i="2"/>
  <c r="J17" i="2"/>
  <c r="F14" i="3"/>
  <c r="E9" i="3"/>
  <c r="G9" i="3"/>
  <c r="T23" i="16"/>
  <c r="T31" i="16" s="1"/>
  <c r="AO23" i="11"/>
  <c r="BL23" i="11"/>
  <c r="W23" i="17"/>
  <c r="X23" i="17" s="1"/>
  <c r="G30" i="2"/>
  <c r="AN30" i="17" s="1"/>
  <c r="AN33" i="17" s="1"/>
  <c r="I30" i="2"/>
  <c r="J30" i="2" s="1"/>
  <c r="B26" i="5"/>
  <c r="AP30" i="17"/>
  <c r="I30" i="3"/>
  <c r="E30" i="12"/>
  <c r="BF22" i="8"/>
  <c r="J22" i="7" s="1"/>
  <c r="AU23" i="11"/>
  <c r="CK31" i="8"/>
  <c r="AK26" i="16"/>
  <c r="AK31" i="16" s="1"/>
  <c r="AV26" i="16"/>
  <c r="AU30" i="16"/>
  <c r="AM14" i="16"/>
  <c r="AX23" i="16"/>
  <c r="AY23" i="16"/>
  <c r="L23" i="17"/>
  <c r="L31" i="17" s="1"/>
  <c r="G26" i="16"/>
  <c r="BM14" i="16"/>
  <c r="AE14" i="16"/>
  <c r="AE31" i="16" s="1"/>
  <c r="J21" i="12"/>
  <c r="AU30" i="21"/>
  <c r="BH31" i="8"/>
  <c r="Z30" i="11"/>
  <c r="BE26" i="16"/>
  <c r="AJ26" i="17"/>
  <c r="AV30" i="16"/>
  <c r="AF30" i="16"/>
  <c r="AJ30" i="17"/>
  <c r="E30" i="17"/>
  <c r="AF23" i="16"/>
  <c r="AT23" i="16"/>
  <c r="BU23" i="16"/>
  <c r="BU26" i="16" s="1"/>
  <c r="BU30" i="16" s="1"/>
  <c r="K14" i="16"/>
  <c r="K31" i="16" s="1"/>
  <c r="P14" i="21"/>
  <c r="P31" i="21" s="1"/>
  <c r="B26" i="7"/>
  <c r="D25" i="6"/>
  <c r="J25" i="12" s="1"/>
  <c r="BB14" i="8"/>
  <c r="AX26" i="16"/>
  <c r="BC26" i="16"/>
  <c r="BC30" i="16"/>
  <c r="AB23" i="16"/>
  <c r="AT14" i="16"/>
  <c r="BC14" i="16"/>
  <c r="AW33" i="17"/>
  <c r="P23" i="16"/>
  <c r="P26" i="16" s="1"/>
  <c r="M23" i="17"/>
  <c r="M31" i="17" s="1"/>
  <c r="I22" i="12"/>
  <c r="K31" i="8"/>
  <c r="F30" i="12"/>
  <c r="BG11" i="8"/>
  <c r="K11" i="7" s="1"/>
  <c r="BD10" i="8"/>
  <c r="H10" i="7" s="1"/>
  <c r="AQ20" i="11"/>
  <c r="AF31" i="8"/>
  <c r="AG26" i="16"/>
  <c r="AG31" i="16" s="1"/>
  <c r="AA26" i="17"/>
  <c r="AK26" i="17"/>
  <c r="Q30" i="16"/>
  <c r="AC14" i="16"/>
  <c r="AE23" i="17"/>
  <c r="H23" i="17"/>
  <c r="H31" i="17" s="1"/>
  <c r="AH14" i="21"/>
  <c r="AH31" i="21" s="1"/>
  <c r="N30" i="2"/>
  <c r="D30" i="7"/>
  <c r="B23" i="5"/>
  <c r="AY26" i="8"/>
  <c r="AY31" i="8" s="1"/>
  <c r="AQ21" i="11"/>
  <c r="AW26" i="16"/>
  <c r="G26" i="17"/>
  <c r="E14" i="16"/>
  <c r="F12" i="16"/>
  <c r="BL12" i="16" s="1"/>
  <c r="K14" i="21"/>
  <c r="K31" i="21" s="1"/>
  <c r="U23" i="16"/>
  <c r="L14" i="16"/>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AO31" i="20" s="1"/>
  <c r="M31" i="20"/>
  <c r="AD23" i="20"/>
  <c r="AD33" i="20" s="1"/>
  <c r="AI23" i="20"/>
  <c r="AI31" i="20" s="1"/>
  <c r="F17" i="20"/>
  <c r="AS17" i="20" s="1"/>
  <c r="K31" i="19"/>
  <c r="AQ31" i="20" s="1"/>
  <c r="O31" i="19"/>
  <c r="W31" i="19"/>
  <c r="AE31" i="19"/>
  <c r="BH31" i="19"/>
  <c r="BC33" i="20"/>
  <c r="AC14" i="21"/>
  <c r="AC33" i="21" s="1"/>
  <c r="Q14" i="21"/>
  <c r="Q31" i="21" s="1"/>
  <c r="BE33" i="21"/>
  <c r="AK31" i="20"/>
  <c r="AP26" i="20"/>
  <c r="AS14" i="20"/>
  <c r="I23" i="20"/>
  <c r="I31" i="20" s="1"/>
  <c r="BC31" i="21"/>
  <c r="AZ31" i="19"/>
  <c r="AD14" i="21"/>
  <c r="AD31" i="21" s="1"/>
  <c r="Z14" i="21"/>
  <c r="AK33" i="20"/>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BE21" i="8"/>
  <c r="I21" i="7" s="1"/>
  <c r="E23" i="14"/>
  <c r="C19" i="14"/>
  <c r="F14" i="14"/>
  <c r="J31" i="8"/>
  <c r="C9" i="14"/>
  <c r="AQ9" i="11"/>
  <c r="BC23" i="8"/>
  <c r="BD20" i="8"/>
  <c r="H20" i="7" s="1"/>
  <c r="BG20" i="8"/>
  <c r="AZ23" i="8"/>
  <c r="BE23" i="13"/>
  <c r="BB31" i="13"/>
  <c r="AQ17" i="17"/>
  <c r="AY31" i="21"/>
  <c r="I26" i="2"/>
  <c r="AG23" i="11"/>
  <c r="AK23" i="11"/>
  <c r="E14" i="14"/>
  <c r="K21" i="7"/>
  <c r="K21" i="12"/>
  <c r="D31" i="12"/>
  <c r="I18" i="12"/>
  <c r="BE14" i="8"/>
  <c r="Q21" i="11"/>
  <c r="Q29" i="11"/>
  <c r="D11" i="6"/>
  <c r="E11" i="3"/>
  <c r="BC26" i="8"/>
  <c r="BF26" i="8" s="1"/>
  <c r="Q12" i="11"/>
  <c r="R16" i="14"/>
  <c r="BH17" i="16"/>
  <c r="AO27" i="17"/>
  <c r="AM18" i="11"/>
  <c r="BI17" i="11"/>
  <c r="BI13" i="11"/>
  <c r="BG18" i="11"/>
  <c r="BI11" i="11"/>
  <c r="BH28" i="11"/>
  <c r="AP20" i="20"/>
  <c r="S26" i="11"/>
  <c r="J29" i="7"/>
  <c r="H29" i="7"/>
  <c r="E29" i="6"/>
  <c r="K29" i="12" s="1"/>
  <c r="L29" i="14"/>
  <c r="D29" i="6"/>
  <c r="J29" i="12" s="1"/>
  <c r="I29" i="7"/>
  <c r="AV26" i="21"/>
  <c r="AR26" i="11"/>
  <c r="P31" i="8"/>
  <c r="BM26" i="16"/>
  <c r="X31" i="21"/>
  <c r="H23" i="2"/>
  <c r="AO11" i="17"/>
  <c r="X28" i="17"/>
  <c r="AA21" i="16"/>
  <c r="T10" i="11"/>
  <c r="AQ23" i="21"/>
  <c r="AM29" i="11"/>
  <c r="AM10" i="11"/>
  <c r="T23"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17" i="20"/>
  <c r="U16" i="17"/>
  <c r="U23" i="17" s="1"/>
  <c r="U26" i="17" s="1"/>
  <c r="AA13" i="16"/>
  <c r="AA19" i="16"/>
  <c r="X18" i="16"/>
  <c r="V28" i="16"/>
  <c r="R20" i="14"/>
  <c r="AA10" i="21"/>
  <c r="J28" i="2"/>
  <c r="D14" i="3"/>
  <c r="N31" i="8"/>
  <c r="G31" i="7" s="1"/>
  <c r="G30" i="7"/>
  <c r="BG13" i="8"/>
  <c r="K13" i="7" s="1"/>
  <c r="BD13" i="8"/>
  <c r="H13" i="7" s="1"/>
  <c r="AM23" i="11"/>
  <c r="B26" i="6"/>
  <c r="AP31" i="20"/>
  <c r="BH12" i="11"/>
  <c r="BM19" i="11"/>
  <c r="BG28" i="11"/>
  <c r="S12" i="17"/>
  <c r="AO23" i="17"/>
  <c r="AM28" i="11"/>
  <c r="BM28" i="11"/>
  <c r="AQ30" i="21"/>
  <c r="BH29" i="16"/>
  <c r="BJ13" i="11"/>
  <c r="X29" i="17"/>
  <c r="AP12" i="21"/>
  <c r="BM11" i="11"/>
  <c r="BM10" i="11"/>
  <c r="BF9" i="11"/>
  <c r="AP19" i="20"/>
  <c r="V17" i="16"/>
  <c r="H22" i="2"/>
  <c r="F22" i="2"/>
  <c r="J11" i="2"/>
  <c r="F11" i="2"/>
  <c r="S25" i="14"/>
  <c r="V25" i="14" s="1"/>
  <c r="V26" i="14" s="1"/>
  <c r="C28" i="14"/>
  <c r="K28" i="14" s="1"/>
  <c r="AS26" i="11"/>
  <c r="BE17" i="8"/>
  <c r="I17" i="7" s="1"/>
  <c r="BB23" i="8"/>
  <c r="BG26" i="13"/>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BK31" i="16" s="1"/>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K32" i="20"/>
  <c r="O12" i="11"/>
  <c r="H32" i="17"/>
  <c r="AW32" i="11"/>
  <c r="AV32" i="21"/>
  <c r="BJ23" i="11" l="1"/>
  <c r="BK23" i="11"/>
  <c r="Q28" i="11"/>
  <c r="BH14" i="11"/>
  <c r="BF23" i="11"/>
  <c r="X14" i="16"/>
  <c r="V31" i="20"/>
  <c r="Q9" i="11"/>
  <c r="AQ17" i="11"/>
  <c r="P13" i="11"/>
  <c r="Q13" i="11"/>
  <c r="AZ14" i="11"/>
  <c r="AZ31" i="11"/>
  <c r="BI23" i="11"/>
  <c r="U14" i="17"/>
  <c r="P20" i="11"/>
  <c r="Q25" i="11"/>
  <c r="BK14" i="11"/>
  <c r="BK31" i="11" s="1"/>
  <c r="Q23" i="17"/>
  <c r="Q31" i="17" s="1"/>
  <c r="S26" i="14"/>
  <c r="K22" i="12"/>
  <c r="AF31" i="11"/>
  <c r="AE31" i="11"/>
  <c r="I21" i="12"/>
  <c r="AH31" i="11"/>
  <c r="G33" i="11"/>
  <c r="J33" i="20"/>
  <c r="AO31" i="16"/>
  <c r="Z31" i="11"/>
  <c r="AN23" i="11"/>
  <c r="E31" i="2"/>
  <c r="S23" i="14"/>
  <c r="AP14" i="11"/>
  <c r="AI33" i="11"/>
  <c r="I33" i="11"/>
  <c r="G31" i="21"/>
  <c r="AU31" i="21"/>
  <c r="K31" i="17"/>
  <c r="G31" i="16"/>
  <c r="J33" i="17"/>
  <c r="AK31" i="11"/>
  <c r="AN26" i="11"/>
  <c r="J11" i="12"/>
  <c r="AG33" i="11"/>
  <c r="BG33" i="16"/>
  <c r="AL31" i="21"/>
  <c r="AG33" i="17"/>
  <c r="U31" i="16"/>
  <c r="H31" i="11"/>
  <c r="AA31" i="11"/>
  <c r="AI31" i="11"/>
  <c r="L31" i="11"/>
  <c r="G32" i="21"/>
  <c r="I31" i="11"/>
  <c r="R31" i="11"/>
  <c r="AJ33" i="11"/>
  <c r="D26" i="6"/>
  <c r="J26" i="12" s="1"/>
  <c r="F23" i="20"/>
  <c r="F33" i="20" s="1"/>
  <c r="X23" i="20"/>
  <c r="AY33" i="21"/>
  <c r="AX33" i="20"/>
  <c r="BA31" i="13"/>
  <c r="BD31" i="13" s="1"/>
  <c r="AJ33" i="17"/>
  <c r="D31" i="14"/>
  <c r="AC30" i="11"/>
  <c r="G32" i="11"/>
  <c r="D33" i="12"/>
  <c r="N31" i="2"/>
  <c r="I31" i="2"/>
  <c r="BG31" i="19"/>
  <c r="AR31" i="20"/>
  <c r="AU33" i="21"/>
  <c r="AN30" i="11"/>
  <c r="AQ26" i="11"/>
  <c r="AS32" i="20"/>
  <c r="G33" i="20"/>
  <c r="G31" i="20"/>
  <c r="AQ31" i="21"/>
  <c r="AN33" i="20"/>
  <c r="AN33" i="21"/>
  <c r="O31" i="16"/>
  <c r="BD30" i="13"/>
  <c r="BE30" i="13"/>
  <c r="BG30" i="13"/>
  <c r="BF30" i="13"/>
  <c r="BC31" i="13"/>
  <c r="BF26" i="13"/>
  <c r="BG14" i="13"/>
  <c r="BD14" i="13"/>
  <c r="BE14" i="13"/>
  <c r="E31" i="17"/>
  <c r="BE23" i="8"/>
  <c r="I23" i="7" s="1"/>
  <c r="E33" i="12"/>
  <c r="F31" i="14"/>
  <c r="C26" i="14"/>
  <c r="Y23" i="11"/>
  <c r="AC14" i="11"/>
  <c r="W31" i="11"/>
  <c r="D31" i="2"/>
  <c r="BD31" i="16"/>
  <c r="J31" i="11"/>
  <c r="K17" i="12"/>
  <c r="I19" i="12"/>
  <c r="AG31" i="11"/>
  <c r="X31" i="11"/>
  <c r="AB31" i="11"/>
  <c r="M31" i="11"/>
  <c r="G31" i="11"/>
  <c r="D31" i="5"/>
  <c r="B31" i="5"/>
  <c r="K30" i="20"/>
  <c r="AS26" i="20"/>
  <c r="BF33" i="16"/>
  <c r="L30" i="20"/>
  <c r="AC31" i="20"/>
  <c r="BE31" i="13" l="1"/>
  <c r="BF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O33" i="11" s="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K26" i="12"/>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K32" i="12"/>
  <c r="J32" i="17"/>
  <c r="AC32" i="11"/>
  <c r="AY32" i="16"/>
  <c r="F32" i="12"/>
  <c r="F32" i="16"/>
  <c r="AT32" i="11"/>
  <c r="AW32" i="17"/>
  <c r="R32" i="11"/>
  <c r="AQ32" i="16"/>
  <c r="AY32" i="11"/>
  <c r="AG32" i="16"/>
  <c r="V32" i="16"/>
  <c r="BD32" i="16"/>
  <c r="O32" i="11"/>
  <c r="L32" i="17"/>
  <c r="AD32" i="17"/>
  <c r="AO32" i="16"/>
  <c r="K32" i="16"/>
  <c r="M32" i="16"/>
  <c r="J32" i="12"/>
  <c r="U32" i="21"/>
  <c r="BB32" i="16"/>
  <c r="AM32" i="11"/>
  <c r="H32" i="21"/>
  <c r="AS32" i="11"/>
  <c r="AJ32" i="17"/>
  <c r="S32" i="17"/>
  <c r="S32" i="11"/>
  <c r="AR32" i="17"/>
  <c r="K32" i="17"/>
  <c r="AE32" i="21"/>
  <c r="BG32" i="16"/>
  <c r="AT32" i="17"/>
  <c r="K32" i="11"/>
  <c r="BJ32" i="16"/>
  <c r="AA32" i="11"/>
  <c r="M32" i="11"/>
  <c r="R32" i="21"/>
  <c r="AJ32" i="16"/>
  <c r="BC32" i="21"/>
  <c r="AV32" i="17"/>
  <c r="AJ32" i="11"/>
  <c r="AN32" i="21"/>
  <c r="X32" i="16"/>
  <c r="V32" i="11"/>
  <c r="AU32" i="21"/>
  <c r="BO32" i="16"/>
  <c r="T32" i="11"/>
  <c r="T32" i="17"/>
  <c r="BE32" i="21"/>
  <c r="AP32" i="17"/>
  <c r="AP32" i="16"/>
  <c r="AX32" i="16"/>
  <c r="AG32" i="21"/>
  <c r="N32" i="16"/>
  <c r="AE32" i="17"/>
  <c r="AW32" i="16"/>
  <c r="AB32" i="21"/>
  <c r="AF32" i="17"/>
  <c r="J32" i="11"/>
  <c r="AC32" i="17"/>
  <c r="R32" i="17"/>
  <c r="AN32" i="16"/>
  <c r="AO32" i="17"/>
  <c r="BF32" i="16"/>
  <c r="AL32" i="16"/>
  <c r="AH32" i="16"/>
  <c r="W32" i="17"/>
  <c r="H32" i="11"/>
  <c r="I32" i="16"/>
  <c r="AM32" i="17"/>
  <c r="AR32" i="20"/>
  <c r="AH32" i="11"/>
  <c r="P32" i="11"/>
  <c r="AI32" i="17"/>
  <c r="M32" i="21"/>
  <c r="BK32" i="16"/>
  <c r="AT32" i="20"/>
  <c r="F32" i="11"/>
  <c r="AP32" i="21"/>
  <c r="BI32" i="16"/>
  <c r="V32" i="17"/>
  <c r="O32" i="17"/>
  <c r="N32" i="21"/>
  <c r="Y32" i="16"/>
  <c r="R32" i="16"/>
  <c r="AL32" i="21"/>
  <c r="E32" i="16"/>
  <c r="BN32" i="16"/>
  <c r="AI32" i="16"/>
  <c r="AZ32" i="16"/>
  <c r="AD32" i="11"/>
  <c r="L32" i="11"/>
  <c r="AB32" i="11"/>
  <c r="I32" i="17"/>
  <c r="Q32" i="21"/>
  <c r="AF32" i="21"/>
  <c r="N32" i="17"/>
  <c r="AD32" i="16"/>
  <c r="W32" i="11"/>
  <c r="K32" i="21"/>
  <c r="BA32" i="16"/>
  <c r="AN32" i="17"/>
  <c r="X32" i="11"/>
  <c r="BC32" i="16"/>
  <c r="AZ32" i="11"/>
  <c r="AF32" i="11"/>
  <c r="Q32" i="11"/>
  <c r="U32" i="20"/>
  <c r="BH32" i="16"/>
  <c r="AO32" i="11"/>
  <c r="J32" i="21"/>
  <c r="O32" i="21"/>
  <c r="AG32" i="11"/>
  <c r="AE32" i="16"/>
  <c r="I32" i="12"/>
  <c r="AA32" i="21"/>
  <c r="Q32" i="16"/>
  <c r="Z32" i="21"/>
  <c r="P32" i="16"/>
  <c r="J32" i="16"/>
  <c r="X32" i="21"/>
  <c r="S32" i="21"/>
  <c r="AC32" i="16"/>
  <c r="AY32" i="21"/>
  <c r="W32" i="16"/>
  <c r="Z32" i="17"/>
  <c r="AK32" i="16"/>
  <c r="AB32" i="16"/>
  <c r="AI32" i="11"/>
  <c r="S32" i="16"/>
  <c r="E32" i="21"/>
  <c r="D32" i="12"/>
  <c r="L32" i="21"/>
  <c r="Y32" i="11"/>
  <c r="AK32" i="17"/>
  <c r="Z32" i="16"/>
  <c r="AW32" i="21"/>
  <c r="O32" i="16"/>
  <c r="H32" i="12"/>
  <c r="BE32" i="16"/>
  <c r="AT32" i="16"/>
  <c r="AI32" i="21"/>
  <c r="AE32" i="11"/>
  <c r="BM32" i="16"/>
  <c r="I32" i="21"/>
  <c r="AB32" i="17"/>
  <c r="BS32" i="16"/>
  <c r="F32" i="21"/>
  <c r="AR32" i="21"/>
  <c r="M32" i="17"/>
  <c r="AL32" i="17"/>
  <c r="Z32" i="11"/>
  <c r="AS32" i="17"/>
  <c r="BQ32" i="16"/>
  <c r="G32" i="12"/>
  <c r="AM32" i="21"/>
  <c r="E32" i="17"/>
  <c r="AM32" i="16"/>
  <c r="AV32" i="11"/>
  <c r="AR32" i="16"/>
  <c r="F32" i="17"/>
  <c r="AH32" i="21"/>
  <c r="U32" i="16"/>
  <c r="AS32" i="21"/>
  <c r="AC32" i="21"/>
  <c r="AL32" i="11"/>
  <c r="T32" i="16"/>
  <c r="P32" i="17"/>
  <c r="BD32" i="21"/>
  <c r="AO32" i="21"/>
  <c r="V32" i="20"/>
  <c r="AA32" i="16"/>
  <c r="E32" i="11"/>
  <c r="AF32" i="16"/>
  <c r="AA32" i="17"/>
  <c r="X32" i="17"/>
  <c r="U32" i="11"/>
  <c r="AH32" i="17"/>
  <c r="AK32" i="21"/>
  <c r="U32" i="17"/>
  <c r="Q32" i="17"/>
  <c r="V32" i="21"/>
  <c r="E32" i="12"/>
  <c r="AD32" i="21"/>
  <c r="Y32" i="21"/>
  <c r="Y32" i="17"/>
  <c r="P32" i="21"/>
  <c r="AK32" i="11"/>
  <c r="H32" i="16"/>
  <c r="L32" i="16"/>
  <c r="AU32" i="16"/>
  <c r="AN32" i="11"/>
  <c r="N32" i="11"/>
  <c r="AU32" i="11"/>
  <c r="AS32" i="16"/>
  <c r="AG32" i="17"/>
  <c r="I32" i="11"/>
  <c r="AR32" i="11"/>
  <c r="AV32" i="16"/>
  <c r="AJ32" i="21"/>
  <c r="F31" i="2" l="1"/>
  <c r="BM31" i="11"/>
  <c r="AQ32" i="17"/>
  <c r="BL32" i="16"/>
  <c r="AQ32" i="11"/>
  <c r="AT32" i="21"/>
  <c r="AP32" i="11"/>
  <c r="V31" i="16"/>
  <c r="BG31" i="11"/>
  <c r="G31" i="3"/>
  <c r="BV33" i="16"/>
  <c r="BV31" i="16"/>
  <c r="BG31" i="8"/>
  <c r="BD31" i="8"/>
  <c r="S31" i="17"/>
  <c r="I31" i="3"/>
  <c r="H31" i="2"/>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K31" i="12" l="1"/>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<sst xmlns="http://schemas.openxmlformats.org/spreadsheetml/2006/main" count="2682" uniqueCount="1193">
  <si>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</si>
  <si>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</si>
  <si>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</si>
  <si>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</si>
  <si>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</si>
  <si>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</si>
  <si>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</si>
  <si>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</si>
  <si>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</si>
  <si>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</si>
  <si>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</si>
  <si>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</si>
  <si>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</si>
  <si>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</si>
  <si>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</si>
  <si>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</si>
  <si>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</si>
  <si>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</si>
  <si>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</si>
  <si>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</si>
  <si>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</si>
  <si>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</si>
  <si>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</si>
  <si>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</si>
  <si>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</si>
  <si>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</si>
  <si>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</si>
  <si>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</si>
  <si>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</si>
  <si>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</si>
  <si>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</si>
  <si>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</si>
  <si>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</si>
  <si>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</si>
  <si>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</si>
  <si>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</si>
  <si>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</si>
  <si>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</si>
  <si>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</si>
  <si>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</si>
  <si>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</si>
  <si>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</si>
  <si>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</si>
  <si>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</si>
  <si>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</si>
  <si>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</si>
  <si>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</si>
  <si>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</si>
  <si>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</si>
  <si>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</si>
  <si>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</si>
  <si>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</si>
  <si>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</si>
  <si>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</si>
  <si>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</si>
  <si>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</si>
  <si>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</si>
  <si>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</si>
  <si>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</si>
  <si>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</si>
  <si>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</si>
  <si>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</si>
  <si>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</si>
  <si>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</si>
  <si>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</si>
  <si>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</si>
  <si>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</si>
  <si>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</si>
  <si>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</si>
  <si>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</si>
  <si>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</si>
  <si>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</si>
  <si>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</si>
  <si>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</si>
  <si>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</si>
  <si>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</si>
  <si>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</si>
  <si>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</si>
  <si>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</si>
  <si>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</si>
  <si>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</si>
  <si>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</si>
  <si>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</si>
  <si>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</si>
  <si>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</si>
  <si>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</si>
  <si>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</si>
  <si>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</si>
  <si>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</si>
  <si>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</si>
  <si>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</si>
  <si>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</si>
  <si>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</si>
  <si>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</si>
  <si>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</si>
  <si>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</si>
  <si>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</si>
  <si>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</si>
  <si>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</si>
  <si>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</si>
  <si>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</si>
  <si>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</si>
  <si>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</si>
  <si>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</si>
  <si>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</si>
  <si>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</si>
  <si>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</si>
  <si>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</si>
  <si>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</si>
  <si>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</si>
  <si>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</si>
  <si>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</si>
  <si>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</si>
  <si>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</si>
  <si>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</si>
  <si>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</si>
  <si>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</si>
  <si>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</si>
  <si>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</si>
  <si>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</si>
  <si>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</si>
  <si>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</si>
  <si>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</si>
  <si>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</si>
  <si>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</si>
  <si>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</si>
  <si>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</si>
  <si>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</si>
  <si>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</si>
  <si>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</si>
  <si>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</si>
  <si>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</si>
  <si>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</si>
  <si>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</si>
  <si>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</si>
  <si>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</si>
  <si>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</si>
  <si>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</si>
  <si>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</si>
  <si>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</si>
  <si>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</si>
  <si>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</si>
  <si>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</si>
  <si>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</si>
  <si>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</si>
  <si>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</si>
  <si>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</si>
  <si>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</si>
  <si>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</si>
  <si>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</si>
  <si>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</si>
  <si>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</si>
  <si>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</si>
  <si>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</si>
  <si>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</si>
  <si>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</si>
  <si>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</si>
  <si>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</si>
  <si>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</si>
  <si>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</si>
  <si>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</si>
  <si>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</si>
  <si>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</si>
  <si>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</si>
  <si>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</si>
  <si>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</si>
  <si>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</si>
  <si>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</si>
  <si>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</si>
  <si>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</si>
  <si>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</si>
  <si>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</si>
  <si>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</si>
  <si>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</si>
  <si>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</si>
  <si>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</si>
  <si>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</si>
  <si>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</si>
  <si>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</si>
  <si>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</si>
  <si>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</si>
  <si>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</si>
  <si>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</si>
  <si>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</si>
  <si>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</si>
  <si>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</si>
  <si>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</si>
  <si>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</si>
  <si>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</si>
  <si>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</si>
  <si>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</si>
  <si>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</si>
  <si>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</si>
  <si>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</si>
  <si>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</si>
  <si>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</si>
  <si>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</si>
  <si>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</si>
  <si>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</si>
  <si>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</si>
  <si>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</si>
  <si>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</si>
  <si>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</si>
  <si>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</si>
  <si>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</si>
  <si>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</si>
  <si>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</si>
  <si>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</si>
  <si>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</si>
  <si>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</si>
  <si>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</si>
  <si>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</si>
  <si>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</si>
  <si>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</si>
  <si>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</si>
  <si>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</si>
  <si>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</si>
  <si>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</si>
  <si>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</si>
  <si>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</si>
  <si>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</si>
  <si>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</si>
  <si>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</si>
  <si>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</si>
  <si>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</si>
  <si>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</si>
  <si>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</si>
  <si>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</si>
  <si>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</si>
  <si>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</si>
  <si>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</si>
  <si>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</si>
  <si>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</si>
  <si>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</si>
  <si>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</si>
  <si>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</si>
  <si>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</si>
  <si>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</si>
  <si>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</si>
  <si>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</si>
  <si>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</si>
  <si>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</si>
  <si>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</si>
  <si>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</si>
  <si>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</si>
  <si>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</si>
  <si>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</si>
  <si>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</si>
  <si>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</si>
  <si>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</si>
  <si>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</si>
  <si>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</si>
  <si>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</si>
  <si>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</si>
  <si>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</si>
  <si>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</si>
  <si>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</si>
  <si>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</si>
  <si>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</si>
  <si>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</si>
  <si>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</si>
  <si>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</si>
  <si>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</si>
  <si>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</si>
  <si>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</si>
  <si>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</si>
  <si>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</si>
  <si>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</si>
  <si>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</si>
  <si>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</si>
  <si>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</si>
  <si>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</si>
  <si>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</si>
  <si>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</si>
  <si>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</si>
  <si>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</si>
  <si>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</si>
  <si>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</si>
  <si>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</si>
  <si>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</si>
  <si>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</si>
  <si>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</si>
  <si>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</si>
  <si>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</si>
  <si>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</si>
  <si>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</si>
  <si>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</si>
  <si>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</si>
  <si>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</si>
  <si>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</si>
  <si>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</si>
  <si>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</si>
  <si>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</si>
  <si>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</si>
  <si>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</si>
  <si>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</si>
  <si>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</si>
  <si>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</si>
  <si>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</si>
  <si>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</si>
  <si>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</si>
  <si>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</si>
  <si>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</si>
  <si>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</si>
  <si>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</si>
  <si>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</si>
  <si>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</si>
  <si>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</si>
  <si>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</si>
  <si>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</si>
  <si>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</si>
  <si>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</si>
  <si>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</si>
  <si>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</si>
  <si>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</si>
  <si>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</si>
  <si>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</si>
  <si>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</si>
  <si>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</si>
  <si>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</si>
  <si>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</si>
  <si>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</si>
  <si>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</si>
  <si>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</si>
  <si>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</si>
  <si>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</si>
  <si>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</si>
  <si>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</si>
  <si>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</si>
  <si>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</si>
  <si>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</si>
  <si>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</si>
  <si>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</si>
  <si>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</si>
  <si>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</si>
  <si>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</si>
  <si>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</si>
  <si>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</si>
  <si>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</si>
  <si>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</si>
  <si>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</si>
  <si>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</si>
  <si>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</si>
  <si>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</si>
  <si>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</si>
  <si>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</si>
  <si>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</si>
  <si>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</si>
  <si>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</si>
  <si>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</si>
  <si>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</si>
  <si>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</si>
  <si>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</si>
  <si>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</si>
  <si>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</si>
  <si>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</si>
  <si>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</si>
  <si>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</si>
  <si>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</si>
  <si>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</si>
  <si>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</si>
  <si>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</si>
  <si>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</si>
  <si>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</si>
  <si>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</si>
  <si>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</si>
  <si>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</si>
  <si>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</si>
  <si>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</si>
  <si>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</si>
  <si>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</si>
  <si>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</si>
  <si>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</si>
  <si>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</si>
  <si>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</si>
  <si>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</si>
  <si>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</si>
  <si>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</si>
  <si>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</si>
  <si>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</si>
  <si>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</si>
  <si>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</si>
  <si>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</si>
  <si>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</si>
  <si>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</si>
  <si>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</si>
  <si>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</si>
  <si>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</si>
  <si>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</si>
  <si>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</si>
  <si>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</si>
  <si>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</si>
  <si>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</si>
  <si>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</si>
  <si>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</si>
  <si>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</si>
  <si>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</si>
  <si>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</si>
  <si>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</si>
  <si>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</si>
  <si>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</si>
  <si>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</si>
  <si>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</si>
  <si>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</si>
  <si>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</si>
  <si>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</si>
  <si>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</si>
  <si>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</si>
  <si>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</si>
  <si>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</si>
  <si>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</si>
  <si>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</si>
  <si>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</si>
  <si>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</si>
  <si>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</si>
  <si>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</si>
  <si>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</si>
  <si>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</si>
  <si>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</si>
  <si>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</si>
  <si>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</si>
  <si>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</si>
  <si>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</si>
  <si>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</si>
  <si>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</si>
  <si>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</si>
  <si>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</si>
  <si>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</si>
  <si>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</si>
  <si>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</si>
  <si>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</si>
  <si>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</si>
  <si>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</si>
  <si>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</si>
  <si>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</si>
  <si>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</si>
  <si>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</si>
  <si>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</si>
  <si>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</si>
  <si>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</si>
  <si>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</si>
  <si>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</si>
  <si>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</si>
  <si>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</si>
  <si>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</si>
  <si>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</si>
  <si>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</si>
  <si>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</si>
  <si>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</si>
  <si>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</si>
  <si>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</si>
  <si>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</si>
  <si>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</si>
  <si>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</si>
  <si>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</si>
  <si>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</si>
  <si>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</si>
  <si>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</si>
  <si>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</si>
  <si>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</si>
  <si>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</si>
  <si>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</si>
  <si>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</si>
  <si>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</si>
  <si>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</si>
  <si>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</si>
  <si>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</si>
  <si>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</si>
  <si>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</si>
  <si>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</si>
  <si>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</si>
  <si>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</si>
  <si>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</si>
  <si>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</si>
  <si>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</si>
  <si>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</si>
  <si>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</si>
  <si>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</si>
  <si>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</si>
  <si>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</si>
  <si>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</si>
  <si>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</si>
  <si>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</si>
  <si>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</si>
  <si>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</si>
  <si>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</si>
  <si>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</si>
  <si>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</si>
  <si>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</si>
  <si>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</si>
  <si>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</si>
  <si>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</si>
  <si>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</si>
  <si>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</si>
  <si>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</si>
  <si>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</si>
  <si>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</si>
  <si>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</si>
  <si>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</si>
  <si>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</si>
  <si>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</si>
  <si>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</si>
  <si>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</si>
  <si>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</si>
  <si>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</si>
  <si>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</si>
  <si>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</si>
  <si>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</si>
  <si>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</si>
  <si>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</si>
  <si>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</si>
  <si>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</si>
  <si>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</si>
  <si>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</si>
  <si>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</si>
  <si>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</si>
  <si>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</si>
  <si>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</si>
  <si>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</si>
  <si>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</si>
  <si>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</si>
  <si>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</si>
  <si>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</si>
  <si>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</si>
  <si>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</si>
  <si>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</si>
  <si>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</si>
  <si>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</si>
  <si>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</si>
  <si>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</si>
  <si>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</si>
  <si>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</si>
  <si>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</si>
  <si>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</si>
  <si>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</si>
  <si>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</si>
  <si>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</si>
  <si>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</si>
  <si>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</si>
  <si>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</si>
  <si>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</si>
  <si>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</si>
  <si>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</si>
  <si>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</si>
  <si>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</si>
  <si>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</si>
  <si>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</si>
  <si>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</si>
  <si>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</si>
  <si>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</si>
  <si>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</si>
  <si>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</si>
  <si>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</si>
  <si>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</si>
  <si>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</si>
  <si>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</si>
  <si>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</si>
  <si>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</si>
  <si>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</si>
  <si>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</si>
  <si>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</si>
  <si>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</si>
  <si>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</si>
  <si>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</si>
  <si>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</si>
  <si>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</si>
  <si>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</si>
  <si>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</si>
  <si>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</si>
  <si>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</si>
  <si>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</si>
  <si>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</si>
  <si>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</si>
  <si>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</si>
  <si>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</si>
  <si>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</si>
  <si>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</si>
  <si>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</si>
  <si>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</si>
  <si>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</si>
  <si>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</si>
  <si>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</si>
  <si>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</si>
  <si>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</si>
  <si>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</si>
  <si>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</si>
  <si>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</si>
  <si>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</si>
  <si>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</si>
  <si>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</si>
  <si>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</si>
  <si>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</si>
  <si>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</si>
  <si>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</si>
  <si>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</si>
  <si>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</si>
  <si>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</si>
  <si>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</si>
  <si>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</si>
  <si>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</si>
  <si>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</si>
  <si>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</si>
  <si>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</si>
  <si>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</si>
  <si>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</si>
  <si>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</si>
  <si>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</si>
  <si>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</si>
  <si>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</si>
  <si>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</si>
  <si>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</si>
  <si>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</si>
  <si>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</si>
  <si>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</si>
  <si>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</si>
  <si>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</si>
  <si>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</si>
  <si>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</si>
  <si>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</si>
  <si>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</si>
  <si>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</si>
  <si>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</si>
  <si>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</si>
  <si>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</si>
  <si>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</si>
  <si>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</si>
  <si>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</si>
  <si>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</si>
  <si>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</si>
  <si>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</si>
  <si>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</si>
  <si>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</si>
  <si>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</si>
  <si>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</si>
  <si>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</si>
  <si>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</si>
  <si>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</si>
  <si>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</si>
  <si>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</si>
  <si>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</si>
  <si>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</si>
  <si>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</si>
  <si>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</si>
  <si>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</si>
  <si>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</si>
  <si>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</si>
  <si>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</si>
  <si>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</si>
  <si>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</si>
  <si>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</si>
  <si>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</si>
  <si>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</si>
  <si>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</si>
  <si>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</si>
  <si>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</si>
  <si>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</si>
  <si>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</si>
  <si>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</si>
  <si>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</si>
  <si>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</si>
  <si>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</si>
  <si>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</si>
  <si>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</si>
  <si>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</si>
  <si>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</si>
  <si>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</si>
  <si>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</si>
  <si>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</si>
  <si>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</si>
  <si>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</si>
  <si>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</si>
  <si>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</si>
  <si>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</si>
  <si>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</si>
  <si>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</si>
  <si>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</si>
  <si>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</si>
  <si>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</si>
  <si>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</si>
  <si>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</si>
  <si>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</si>
  <si>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</si>
  <si>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</si>
  <si>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</si>
  <si>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</si>
  <si>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</si>
  <si>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</si>
  <si>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</si>
  <si>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</si>
  <si>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</si>
  <si>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</si>
  <si>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</si>
  <si>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</si>
  <si>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</si>
  <si>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</si>
  <si>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</si>
  <si>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</si>
  <si>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</si>
  <si>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</si>
  <si>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</si>
  <si>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</si>
  <si>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</si>
  <si>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</si>
  <si>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</si>
  <si>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</si>
  <si>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</si>
  <si>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</si>
  <si>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</si>
  <si>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</si>
  <si>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</si>
  <si>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</si>
  <si>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</si>
  <si>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</si>
  <si>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</si>
  <si>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</si>
  <si>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</si>
  <si>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</si>
  <si>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</si>
  <si>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</si>
  <si>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</si>
  <si>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</si>
  <si>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</si>
  <si>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</si>
  <si>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</si>
  <si>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</si>
  <si>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</si>
  <si>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</si>
  <si>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</si>
  <si>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</si>
  <si>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</si>
  <si>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</si>
  <si>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</si>
  <si>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</si>
  <si>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</si>
  <si>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</si>
  <si>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</si>
  <si>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</si>
  <si>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</si>
  <si>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</si>
  <si>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</si>
  <si>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</si>
  <si>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</si>
  <si>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</si>
  <si>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</si>
  <si>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</si>
  <si>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</si>
  <si>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</si>
  <si>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</si>
  <si>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</si>
  <si>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</si>
  <si>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</si>
  <si>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</si>
  <si>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</si>
  <si>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</si>
  <si>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</si>
  <si>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</si>
  <si>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</si>
  <si>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</si>
  <si>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</si>
  <si>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</si>
  <si>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</si>
  <si>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</si>
  <si>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</si>
  <si>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</si>
  <si>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</si>
  <si>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</si>
  <si>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</si>
  <si>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</si>
  <si>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</si>
  <si>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</si>
  <si>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</si>
  <si>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</si>
  <si>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</si>
  <si>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</si>
  <si>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</si>
  <si>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</si>
  <si>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</si>
  <si>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</si>
  <si>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</si>
  <si>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</si>
  <si>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</si>
  <si>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</si>
  <si>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</si>
  <si>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</si>
  <si>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</si>
  <si>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</si>
  <si>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</si>
  <si>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</si>
  <si>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</si>
  <si>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</si>
  <si>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</si>
  <si>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</si>
  <si>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</si>
  <si>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</si>
  <si>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</si>
  <si>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</si>
  <si>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</si>
  <si>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</si>
  <si>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</si>
  <si>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</si>
  <si>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</si>
  <si>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</si>
  <si>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</si>
  <si>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</si>
  <si>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</si>
  <si>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</si>
  <si>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</si>
  <si>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</si>
  <si>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</si>
  <si>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</si>
  <si>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</si>
  <si>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</si>
  <si>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</si>
  <si>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</si>
  <si>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</si>
  <si>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</si>
  <si>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</si>
  <si>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</si>
  <si>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</si>
  <si>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</si>
  <si>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</si>
  <si>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</si>
  <si>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</si>
  <si>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</si>
  <si>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</si>
  <si>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</si>
  <si>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</si>
  <si>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</si>
  <si>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</si>
  <si>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</si>
  <si>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</si>
  <si>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</si>
  <si>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</si>
  <si>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</si>
  <si>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</si>
  <si>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</si>
  <si>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</si>
  <si>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</si>
  <si>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</si>
  <si>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</si>
  <si>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</si>
  <si>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</si>
  <si>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</si>
  <si>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</si>
  <si>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</si>
  <si>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</si>
  <si>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</si>
  <si>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</si>
  <si>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</si>
  <si>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</si>
  <si>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</si>
  <si>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</si>
  <si>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</si>
  <si>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</si>
  <si>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</si>
  <si>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</si>
  <si>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</si>
  <si>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</si>
  <si>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</si>
  <si>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</si>
  <si>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</si>
  <si>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</si>
  <si>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</si>
  <si>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</si>
  <si>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</si>
  <si>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</si>
  <si>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</si>
  <si>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</si>
  <si>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</si>
  <si>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</si>
  <si>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</si>
  <si>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</si>
  <si>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</si>
  <si>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</si>
  <si>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</si>
  <si>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</si>
  <si>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</si>
  <si>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</si>
  <si>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</si>
  <si>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</si>
  <si>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</si>
  <si>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</si>
  <si>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</si>
  <si>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</si>
  <si>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</si>
  <si>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</si>
  <si>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</si>
  <si>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</si>
  <si>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</si>
  <si>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</si>
  <si>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</si>
  <si>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</si>
  <si>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</si>
  <si>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</si>
  <si>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</si>
  <si>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</si>
  <si>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</si>
  <si>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</si>
  <si>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</si>
  <si>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</si>
  <si>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</si>
  <si>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</si>
  <si>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</si>
  <si>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</si>
  <si>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</si>
  <si>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</si>
  <si>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</si>
  <si>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</si>
  <si>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</si>
  <si>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</si>
  <si>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</si>
  <si>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</si>
  <si>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</si>
  <si>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</si>
  <si>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</si>
  <si>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</si>
  <si>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</si>
  <si>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</si>
  <si>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</si>
  <si>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</si>
  <si>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</si>
  <si>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</si>
  <si>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</si>
  <si>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</si>
  <si>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</si>
  <si>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</si>
  <si>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</si>
  <si>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</si>
  <si>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</si>
  <si>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</si>
  <si>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</si>
  <si>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</si>
  <si>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</si>
  <si>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</si>
  <si>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</si>
  <si>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</si>
  <si>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</si>
  <si>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</si>
  <si>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</si>
  <si>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</si>
  <si>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</si>
  <si>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</si>
  <si>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</si>
  <si>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</si>
  <si>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</si>
  <si>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</si>
  <si>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</si>
  <si>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</si>
  <si>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</si>
  <si>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</si>
  <si>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</si>
  <si>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</si>
  <si>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</si>
  <si>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</si>
  <si>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</si>
  <si>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</si>
  <si>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</si>
  <si>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</si>
  <si>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</si>
  <si>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</si>
  <si>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</si>
  <si>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</si>
  <si>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</si>
  <si>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</si>
  <si>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</si>
  <si>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</si>
  <si>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</si>
  <si>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</si>
  <si>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</si>
  <si>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</si>
  <si>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</si>
  <si>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</si>
  <si>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</si>
  <si>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</si>
  <si>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</si>
  <si>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</si>
  <si>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</si>
  <si>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</si>
  <si>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</si>
  <si>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</si>
  <si>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</si>
  <si>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</si>
  <si>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</si>
  <si>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</si>
  <si>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</si>
  <si>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</si>
  <si>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</si>
  <si>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</si>
  <si>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</si>
  <si>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</si>
  <si>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</si>
  <si>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</si>
  <si>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</si>
  <si>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</si>
  <si>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</si>
  <si>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</si>
  <si>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</si>
  <si>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</si>
  <si>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</si>
  <si>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</si>
  <si>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</si>
  <si>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</si>
  <si>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</si>
  <si>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</si>
  <si>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</si>
  <si>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</si>
  <si>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</si>
  <si>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</si>
  <si>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</si>
  <si>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</si>
  <si>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</si>
  <si>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</si>
  <si>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</si>
  <si>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</si>
  <si>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</si>
  <si>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</si>
  <si>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</si>
  <si>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</si>
  <si>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</si>
  <si>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</si>
  <si>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</si>
  <si>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</si>
  <si>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</si>
  <si>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</si>
  <si>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</si>
  <si>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</si>
  <si>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</si>
  <si>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</si>
  <si>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</si>
  <si>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</si>
  <si>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</si>
  <si>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</si>
  <si>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</si>
  <si>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</si>
  <si>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</si>
  <si>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</si>
  <si>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</si>
  <si>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</si>
  <si>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</si>
  <si>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</si>
  <si>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</si>
  <si>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</si>
  <si>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</si>
  <si>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</si>
  <si>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</si>
  <si>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</si>
  <si>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</si>
  <si>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</si>
  <si>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</si>
  <si>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</si>
  <si>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</si>
  <si>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</si>
  <si>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</si>
  <si>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</si>
  <si>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</si>
  <si>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</si>
  <si>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</si>
  <si>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</si>
  <si>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</si>
  <si>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</si>
  <si>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</si>
  <si>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</si>
  <si>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</si>
  <si>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</si>
  <si>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</si>
  <si>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</si>
  <si>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</si>
  <si>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</si>
  <si>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</si>
  <si>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</si>
  <si>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</si>
  <si>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</si>
  <si>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</si>
  <si>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</si>
  <si>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</si>
  <si>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</si>
  <si>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</si>
  <si>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RUPTC218+MEDTO218+INCTO218+EJEHI211+OTRNJ211+(-DIVOC218)+(-SEPAM218)+(-MECON218)+(-GUCON218)+NVL(CONCU219,0)*2+NVL(ICTOT219,0)*2+INTEV215*0.2+AUTMC215*0.2+AUTMP215+NVL(PCTOT219,0)*2+NVL(DILTO219,0)*2+NVL(MEDCA219,0)*2+NVL(EXPAR219,0)*2+PROMO218+PROES218+SOLRE215</t>
  </si>
  <si>
    <t>TCONT211+TCON2211+INCID211+MECAU211+MOVCO211+TVOLU215+INTEV215*0.16+TDERE218*0.8+MEDTO218*0.8+INCTO218*0.8+NVL(CONCU219,0)*2.2+NVL(ICTOT219,0)*2.2+NVL(EXPAR219,0)*2.2+NVL(PCTOT219,0)*2.2+NVL(DILTO219,0)*2.2+NVL(MEDCA219,0)*2.2+NVL(ASTOT219,0)*2.2+NVL(JURIS219,0)+NVL(MONIT219,0)+NVL(TPROC224,0)*0.36+PROMO218+PROES218+AUTME215+SOLRE215</t>
  </si>
  <si>
    <t>TCONT211+TCON2211+TVOLU215+INCID211+MECAU211+MOVCO211+INTEV215+TDERE218+TDERE318+MEDTO218+NVL(CONCU219,0)+NVL(ICTOT219,0)+NVL(EXPAR219,0)+NVL(PCTOT219,0)+NVL(DILTO219,0)+NVL(MEDCA219,0)+NVL(ASTOT219,0)+ NVL(JURIS119,0)+NVL(MONIT219,0)+NVL(TPROC224,0)+PROMO218+PROES218+SOLRE215+INCTO218+AUTME215</t>
  </si>
  <si>
    <t>TCONT211+TCON2211+MOVCO211+INCID211+MECAU211+TDERE218+TDERE318+INTEV215+PROMO218+PROES218+MEDTO218+INCTO218+SOLRE215+AUTME215</t>
  </si>
  <si>
    <t>TDERE218+MEDTO218+INCTO218+PROMO218+PROES218+SOLRE215+INTEV215*0.2+AUTMC215*0.2+AUTMP215+TCON2211+INCID211+MECAU211</t>
  </si>
  <si>
    <t>TDERE218+TVOLU215+INCID211+MECAU211+MOVCO211+INTEV215*0.2+MEDTO218+INCTO218+NVL(CONCU219,0)*2.2+NVL(ICTOT219,0)*2.2+NVL(EXPAR219,0)*2.2+NVL(PCTOT219,0)*2.2+NVL(DILTO219,0)*2.2+NVL(MEDCA219,0)*2.2+NVL(ASTOT219,0)*2.2+TCONT211*1.25+TCON2211*1.25+PROMO218+PROES218+AUTME215+SOLRE215</t>
  </si>
  <si>
    <t>TDERE218+TDERE318+TVOLU215+INTEV215+INCID211+MECAU211+MOVCO211+MEDTO218+INCTO218+NVL(CONCU219,0)+NVL(ICTOT219,0)+NVL(EXPAR219,0)+NVL(PCTOT219,0)+NVL(DILTO219,0)+NVL(MEDCA219,0)+NVL(ASTOT219,0)+TCONT211+TCON2211+PROMO218+PROES218+SOLRE215+AUTME215</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</si>
  <si>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</si>
  <si>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</si>
  <si>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</si>
  <si>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</si>
  <si>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</si>
  <si>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</si>
  <si>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</si>
  <si>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</si>
  <si>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</si>
  <si>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</si>
  <si>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</si>
  <si>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</si>
  <si>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</si>
  <si>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t>
  </si>
  <si>
    <t>TCONT211+TCON2211+INCID211+MECAU211+MOVCO211+TVOLU215+INTEV215+TDERE218+MEDTO218+INCTO218+NVL(CONCU219,0)*2.2+NVL(ICTOT219,0)*2.2+NVL(EXPAR219,0)*2.2+NVL(PCTOT219,0)*2.2+NVL(DILTO219,0)*2.2+NVL(MEDCA219,0)*2.2+NVL(ASTOT219,0)*2.2+NVL(JURIS219,0)+NVL(MONIT219,0)+PROMO218+PROES218+AUTME215+SOLRE215</t>
  </si>
  <si>
    <t>TCONT211+TCON2211+INCID211+MECAU211+TVOLU215+MOVCO211+INTEV215+TDERE218+TDERE318+MEDTO218+NVL(CONCU219,0)+NVL(ICTOT219,0)+NVL(EXPAR219,0)+NVL(PCTOT219,0)+NVL(DILTO219,0)+NVL(MEDCA219,0)+NVL(ASTOT219,0)+ NVL(JURIS119,0)+NVL(MONIT219,0)+PROMO218+PROES218+SOLRE215+INCTO218</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</si>
  <si>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</si>
  <si>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</si>
  <si>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</si>
  <si>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</si>
  <si>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</si>
  <si>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</si>
  <si>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</si>
  <si>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</si>
  <si>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</si>
  <si>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</si>
  <si>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</si>
  <si>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</si>
  <si>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</si>
  <si>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</si>
  <si>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</si>
  <si>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</si>
  <si>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</si>
  <si>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</si>
  <si>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</si>
  <si>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</si>
  <si>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</si>
  <si>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</si>
  <si>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</si>
  <si>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</si>
  <si>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</si>
  <si>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</si>
  <si>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</si>
  <si>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</si>
  <si>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</si>
  <si>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</si>
  <si>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</si>
  <si>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</si>
  <si>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</si>
  <si>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</si>
  <si>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</si>
  <si>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</si>
  <si>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</si>
  <si>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</si>
  <si>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</si>
  <si>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</si>
  <si>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</si>
  <si>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</si>
  <si>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+NVL(ICTOT219,0)+NVL(PCTOT219,0)+NVL(DILTO219,0)+NVL(MEDCA219,0)+NVL(EXPAR219,0)+NVL(MONIT219,0)+NVL(JURIS219,0))*1.5+NVL(EJTOT219,0)+(NVL(TPROC224,0)+NVL(PIESE224,0)+NVL(ASUEX224,0))*0.36</t>
  </si>
  <si>
    <t>TCON2211+MOVCO211*1.5+INCID211+MECAU211+TVOLU215+(TDERE218+MEDTO218+INCTO218)+INTEV215+AUTME215+PROMO218+PROES218+REPIN318+SOLRE215+TCIVI215+(NVL(CONCU219,0)+NVL(ICTOT219,0)+NVL(PCTOT219,0)+NVL(DILTO219,0)+NVL(MEDCA219,0)+NVL(EXPAR219,0)+NVL(SOLEX219,0)+NVL(MONIT219,0)+NVL(JURIS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</si>
  <si>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1.5+NVL(EJTOT219,0)+NVL(PCTOT247,0)</t>
  </si>
  <si>
    <t>TDERE218+MEDTO218+INCTO218+TVOLU215*0.6+INTEV215*0.32+AUTME215+(PROMO218-PROCO218-PRONO218+PROES218+PROCO218)*1.6+PRONO218*0.6+REPIN318+SOLRE215+TCIVI215+TCON2211*1.25+MOVCO211*1.875+INCID211*1.25+MECAU211*1.25+(NVL(CONCU219,0)+NVL(ICTOT219,0)+NVL(PCTOT219,0)+NVL(DILTO219,0)+NVL(MEDCA219,0)+NVL(EXPAR219,0)+NVL(MONIT219,0)+NVL(JURIS219,0))*1.875+NVL(EJTOT219,0)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</si>
  <si>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</si>
  <si>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</si>
  <si>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</si>
  <si>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</si>
  <si>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</si>
  <si>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</si>
  <si>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</si>
  <si>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</si>
  <si>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</si>
  <si>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</si>
  <si>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</si>
  <si>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</si>
  <si>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</si>
  <si>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6*(NULID518)+0.5*(DIVOC518+SEPAM518)+3.25*(DIVON518+SEPAC518)+0.5*(GUCON518)+3.25*(GUNOC518)+0.5*(MECON518)+3.25*(MENOC518)+4.5*(JUORD518)+4.25*(LIREG518)+2.5*(JUVER518+PROMO318-PROCO518-PRONO518+PROCO518*2.5+REPIN418+PROES318)+1.5*(INCTO318)+OTRAP518+OTROC311+EFICA518+2.5*(SUSTR518)+0.5*(RUPTC518)+3.25*(RUPTN518)+AUTMP315+SOLRE315+2.5*OPRES518</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</si>
  <si>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</si>
  <si>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</si>
  <si>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</si>
  <si>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</si>
  <si>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</si>
  <si>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</si>
  <si>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</si>
  <si>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</si>
  <si>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</si>
  <si>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</si>
  <si>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</si>
  <si>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</si>
  <si>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</si>
  <si>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</si>
  <si>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</si>
  <si>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</si>
  <si>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</si>
  <si>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</si>
  <si>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</si>
  <si>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</si>
  <si>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</si>
  <si>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</si>
  <si>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AUTOST13+NVL(AUACTT92,0)+NVL(AUACMT92,0)+NVL(AURESO92,0)+NVL(AUSINM92,0)+NVL(AUCOFA92,0)+NVL(AUNOAC92,0)+NVL(AUDECU92,0)+NVL(AUAPPI92,0)+NVL(AUREAU92,0)+NVL(AUAPPL92,0)+NVL(AUCONC92,0)+NVL(AUAVTT92,0)+NVL(AUASTT92,0)+NVL(AUJVOL92,0)+NVL(AUDPRE92,0)+NVL(AUCAUT92,0)+NVL(AUEJEC92,0)+NVL(AUINNO92,0)+NVL(AUOTCO92,0)+NVL(AUMDMT92,0)+NVL(AULOPJ92,0)+NVL(AUREL192,0)+NVL(AUREL292,0)+NVL(AUREL392,0)+NVL(AUREL492,0)+NVL(AUREL592,0)</t>
  </si>
  <si>
    <t>155</t>
  </si>
  <si>
    <t xml:space="preserve">Pendientes remitir por Fiscalía </t>
  </si>
  <si>
    <t>PENREM51</t>
  </si>
  <si>
    <t>Fecha Informe: 14 abr. 2023</t>
  </si>
  <si>
    <t>Tribunales de Justicia</t>
  </si>
  <si>
    <t>ARAGON</t>
  </si>
  <si>
    <t>Provincias</t>
  </si>
  <si>
    <t>ZARAGOZA</t>
  </si>
  <si>
    <t>Resumenes por Partidos Judiciales</t>
  </si>
  <si>
    <t>CALATAYUD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</si>
</sst>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0" fontId="17" fillId="0" borderId="0" xfId="0" applyFont="1" applyAlignment="1"/>
    <xf numFmtId="0" fontId="17" fillId="0" borderId="0" xfId="0" applyFont="1" applyBorder="1" applyAlignment="1">
      <alignment horizontal="left"/>
    </xf>
    <xf numFmtId="0" fontId="17" fillId="0" borderId="62" xfId="0" applyFont="1" applyBorder="1" applyAlignment="1"/>
    <xf numFmtId="0" fontId="17" fillId="0" borderId="0" xfId="0" applyFont="1" applyAlignment="1">
      <alignment horizontal="left"/>
    </xf>
    <xf numFmtId="0" fontId="17" fillId="0" borderId="62" xfId="0" applyFont="1" applyBorder="1" applyAlignment="1">
      <alignment horizontal="left"/>
    </xf>
    <xf numFmtId="0" fontId="16" fillId="10" borderId="74" xfId="0" applyFont="1" applyFill="1" applyBorder="1" applyAlignment="1">
      <alignment horizontal="center"/>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16"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36" fillId="2" borderId="68" xfId="0" applyFont="1" applyFill="1" applyBorder="1" applyAlignment="1" applyProtection="1">
      <alignment horizontal="center" vertical="center" textRotation="180" wrapText="1"/>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1</v>
      </c>
      <c r="E5" s="418"/>
      <c r="F5" s="3"/>
      <c r="H5" t="s">
        <v>546</v>
      </c>
      <c r="Q5" s="391">
        <v>3</v>
      </c>
      <c r="R5" s="391">
        <v>2</v>
      </c>
      <c r="S5" t="b">
        <f>AND(Q5&gt;=TrimIni,Q5&lt;=TrimFin)</f>
        <v>1</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1</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Hgd2FNw8WIY2irx5U7fkV5n8WBG1+MRBKiTxo3NY+osin54YwQCE2ZAK1ktiCdZLSj8muNj+ix3/qoZkFTDboA==" saltValue="fWMZ9gysQEdpQkOjtXSUm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ARAGON</v>
      </c>
      <c r="C4" s="1450"/>
      <c r="D4" s="1450"/>
      <c r="E4" s="1451"/>
      <c r="F4" s="1450"/>
      <c r="G4" s="664"/>
      <c r="H4" s="1722" t="s">
        <v>475</v>
      </c>
      <c r="I4" s="1723"/>
      <c r="J4" s="1723"/>
      <c r="K4" s="1723"/>
      <c r="L4" s="1723"/>
      <c r="M4" s="1452"/>
      <c r="N4" s="1722" t="s">
        <v>476</v>
      </c>
      <c r="O4" s="1723"/>
      <c r="P4" s="1723"/>
      <c r="Q4" s="1723"/>
      <c r="R4" s="1723"/>
      <c r="S4" s="1723"/>
      <c r="T4" s="1723"/>
      <c r="U4" s="1723"/>
      <c r="V4" s="1723"/>
      <c r="W4" s="1723"/>
      <c r="X4" s="1723"/>
      <c r="Y4" s="1723"/>
      <c r="Z4" s="1723"/>
      <c r="AA4" s="1723"/>
      <c r="AB4" s="1723"/>
      <c r="AC4" s="1723"/>
      <c r="AD4" s="1724"/>
    </row>
    <row r="5" spans="1:31" s="533" customFormat="1" ht="15.75" customHeight="1">
      <c r="A5" s="1736" t="s">
        <v>465</v>
      </c>
      <c r="B5" s="1738" t="str">
        <f>"Año:  " &amp;Criterios!B5 &amp; "      Trimestre   " &amp;Criterios!D5 &amp; " al " &amp;Criterios!D6</f>
        <v>Año:  2022      Trimestre   1 al 4</v>
      </c>
      <c r="C5" s="1742" t="s">
        <v>338</v>
      </c>
      <c r="D5" s="1744" t="s">
        <v>173</v>
      </c>
      <c r="E5" s="1744" t="s">
        <v>126</v>
      </c>
      <c r="F5" s="1746" t="s">
        <v>14</v>
      </c>
      <c r="G5" s="1728"/>
      <c r="H5" s="1725" t="s">
        <v>470</v>
      </c>
      <c r="I5" s="1748" t="s">
        <v>472</v>
      </c>
      <c r="J5" s="1725" t="s">
        <v>471</v>
      </c>
      <c r="K5" s="1727" t="s">
        <v>388</v>
      </c>
      <c r="L5" s="1727" t="s">
        <v>473</v>
      </c>
      <c r="M5" s="1727" t="s">
        <v>467</v>
      </c>
      <c r="N5" s="1712"/>
      <c r="O5" s="1713"/>
      <c r="P5" s="578"/>
      <c r="Q5" s="1716" t="s">
        <v>598</v>
      </c>
      <c r="R5" s="1717"/>
      <c r="S5" s="1718"/>
      <c r="T5" s="1730"/>
      <c r="U5" s="1731"/>
      <c r="V5" s="1732"/>
      <c r="W5" s="1716" t="s">
        <v>349</v>
      </c>
      <c r="X5" s="1717"/>
      <c r="Y5" s="1717"/>
      <c r="Z5" s="1718"/>
      <c r="AA5" s="1716" t="s">
        <v>593</v>
      </c>
      <c r="AB5" s="1717"/>
      <c r="AC5" s="1717"/>
      <c r="AD5" s="1718"/>
    </row>
    <row r="6" spans="1:31" s="533" customFormat="1" ht="21.75" customHeight="1" thickBot="1">
      <c r="A6" s="1737"/>
      <c r="B6" s="1739"/>
      <c r="C6" s="1743"/>
      <c r="D6" s="1745"/>
      <c r="E6" s="1745"/>
      <c r="F6" s="1747"/>
      <c r="G6" s="1728"/>
      <c r="H6" s="1726"/>
      <c r="I6" s="1749"/>
      <c r="J6" s="1726"/>
      <c r="K6" s="1728"/>
      <c r="L6" s="1728"/>
      <c r="M6" s="1728"/>
      <c r="N6" s="1714"/>
      <c r="O6" s="1715"/>
      <c r="P6" s="1453"/>
      <c r="Q6" s="1719"/>
      <c r="R6" s="1720"/>
      <c r="S6" s="1721"/>
      <c r="T6" s="1733"/>
      <c r="U6" s="1734"/>
      <c r="V6" s="1735"/>
      <c r="W6" s="1719"/>
      <c r="X6" s="1720"/>
      <c r="Y6" s="1720"/>
      <c r="Z6" s="1721"/>
      <c r="AA6" s="1719"/>
      <c r="AB6" s="1720"/>
      <c r="AC6" s="1720"/>
      <c r="AD6" s="1721"/>
    </row>
    <row r="7" spans="1:31" s="533" customFormat="1" ht="84" customHeight="1">
      <c r="A7" s="1737"/>
      <c r="B7" s="1454" t="str">
        <f>Datos!A7</f>
        <v>COMPETENCIAS</v>
      </c>
      <c r="C7" s="1743"/>
      <c r="D7" s="1745"/>
      <c r="E7" s="1745"/>
      <c r="F7" s="1747"/>
      <c r="G7" s="1728"/>
      <c r="H7" s="1726"/>
      <c r="I7" s="1749"/>
      <c r="J7" s="1726"/>
      <c r="K7" s="1728"/>
      <c r="L7" s="1728"/>
      <c r="M7" s="1729"/>
      <c r="N7" s="1455" t="s">
        <v>291</v>
      </c>
      <c r="O7" s="1455" t="s">
        <v>508</v>
      </c>
      <c r="P7" s="1456" t="s">
        <v>509</v>
      </c>
      <c r="Q7" s="1457" t="s">
        <v>510</v>
      </c>
      <c r="R7" s="1456" t="s">
        <v>501</v>
      </c>
      <c r="S7" s="1457" t="s">
        <v>1112</v>
      </c>
      <c r="T7" s="1523" t="s">
        <v>1113</v>
      </c>
      <c r="U7" s="1523" t="s">
        <v>1114</v>
      </c>
      <c r="V7" s="1523" t="s">
        <v>1115</v>
      </c>
      <c r="W7" s="1455" t="s">
        <v>594</v>
      </c>
      <c r="X7" s="1549" t="s">
        <v>1137</v>
      </c>
      <c r="Y7" s="1549" t="s">
        <v>1138</v>
      </c>
      <c r="Z7" s="1550" t="s">
        <v>1139</v>
      </c>
      <c r="AA7" s="1458" t="s">
        <v>594</v>
      </c>
      <c r="AB7" s="1547" t="s">
        <v>595</v>
      </c>
      <c r="AC7" s="1547" t="s">
        <v>1140</v>
      </c>
      <c r="AD7" s="1548" t="s">
        <v>1141</v>
      </c>
      <c r="AE7" s="1459" t="s">
        <v>1110</v>
      </c>
    </row>
    <row r="8" spans="1:31" ht="15">
      <c r="A8" s="1740" t="str">
        <f>Datos!A8</f>
        <v>Jurisdicción Civil ( 1 ):</v>
      </c>
      <c r="B8" s="174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3</v>
      </c>
      <c r="D10" s="239">
        <f>IF(ISNUMBER(Datos!I10),Datos!I10," - ")</f>
        <v>3</v>
      </c>
      <c r="E10" s="240">
        <f>IF(ISNUMBER(Datos!J10),Datos!J10," - ")</f>
        <v>5</v>
      </c>
      <c r="F10" s="240">
        <f>IF(ISNUMBER(Datos!K10),Datos!K10," - ")</f>
        <v>5</v>
      </c>
      <c r="G10" s="1390" t="str">
        <f>IF(Datos!E10&lt;&gt;"",Datos!E10,Datos!D10)</f>
        <v>37</v>
      </c>
      <c r="H10" s="241">
        <f>IF(ISNUMBER(Datos!L10),Datos!L10," - ")</f>
        <v>3</v>
      </c>
      <c r="I10" s="1400" t="str">
        <f>IF(ISNUMBER(Datos!AS10/Datos!BM10),Datos!AS10/Datos!BM10," - ")</f>
        <v xml:space="preserve"> - </v>
      </c>
      <c r="J10" s="1401">
        <f>IF(ISNUMBER(Datos!BY10/Datos!CN10),Datos!BY10/Datos!CN10," - ")</f>
        <v>0</v>
      </c>
      <c r="K10" s="244">
        <f t="shared" ref="K10:K13" si="1">IF(ISNUMBER((E10-F10)/C10),(E10-F10)/C10," - ")</f>
        <v>0</v>
      </c>
      <c r="L10" s="1402">
        <f>IF(ISNUMBER(NºAsuntos!I10/NºAsuntos!G10),(NºAsuntos!I10/NºAsuntos!G10)*11," - ")</f>
        <v>6.6</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2</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8.2366288492706659</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3</v>
      </c>
      <c r="D14" s="1407">
        <f>SUBTOTAL(9,D9:D13)</f>
        <v>3</v>
      </c>
      <c r="E14" s="1408">
        <f>SUBTOTAL(9,E9:E13)</f>
        <v>5</v>
      </c>
      <c r="F14" s="1409">
        <f>SUBTOTAL(9,F9:F13)</f>
        <v>5</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40" t="str">
        <f>Datos!A15</f>
        <v xml:space="preserve">Jurisdicción Penal ( 2 ):                      </v>
      </c>
      <c r="B15" s="174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2</v>
      </c>
      <c r="B17" s="1461" t="str">
        <f>Datos!A17</f>
        <v xml:space="preserve">Jdos. 1ª Instª. e Instr.                        </v>
      </c>
      <c r="C17" s="239">
        <f t="shared" si="2"/>
        <v>746</v>
      </c>
      <c r="D17" s="239">
        <f>IF(ISNUMBER(IF(D_I="SI",Datos!I17,Datos!I17+Datos!AC17)),IF(D_I="SI",Datos!I17,Datos!I17+Datos!AC17)," - ")</f>
        <v>734</v>
      </c>
      <c r="E17" s="240">
        <f>IF(ISNUMBER(IF(D_I="SI",Datos!J17,Datos!J17+Datos!AD17)),IF(D_I="SI",Datos!J17,Datos!J17+Datos!AD17)," - ")</f>
        <v>1453</v>
      </c>
      <c r="F17" s="240">
        <f>IF(ISNUMBER(IF(D_I="SI",Datos!K17,Datos!K17+Datos!AE17)),IF(D_I="SI",Datos!K17,Datos!K17+Datos!AE17)," - ")</f>
        <v>1649</v>
      </c>
      <c r="G17" s="1390" t="str">
        <f>IF(Datos!E17&lt;&gt;"",Datos!E17,Datos!D17)</f>
        <v>04</v>
      </c>
      <c r="H17" s="241">
        <f>IF(ISNUMBER(IF(D_I="SI",Datos!L17,Datos!L17+Datos!AF17)),IF(D_I="SI",Datos!L17,Datos!L17+Datos!AF17)," - ")</f>
        <v>550</v>
      </c>
      <c r="I17" s="1400" t="str">
        <f>IF(ISNUMBER(Datos!AS17/Datos!BM17),Datos!AS17/Datos!BM17," - ")</f>
        <v xml:space="preserve"> - </v>
      </c>
      <c r="J17" s="1401">
        <f>IF(ISNUMBER(Datos!BY17/Datos!CN17),Datos!BY17/Datos!CN17," - ")</f>
        <v>0</v>
      </c>
      <c r="K17" s="244">
        <f t="shared" si="3"/>
        <v>-0.26273458445040215</v>
      </c>
      <c r="L17" s="1402">
        <f>IF(ISNUMBER(NºAsuntos!I17/NºAsuntos!G17),(NºAsuntos!I17/NºAsuntos!G17)*11," - ")</f>
        <v>3.6688902365069738</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40</v>
      </c>
      <c r="D18" s="239">
        <f>IF(ISNUMBER(IF(D_I="SI",Datos!I18,Datos!I18+Datos!AC18)),IF(D_I="SI",Datos!I18,Datos!I18+Datos!AC18)," - ")</f>
        <v>40</v>
      </c>
      <c r="E18" s="240">
        <f>IF(ISNUMBER(IF(D_I="SI",Datos!J18,Datos!J18+Datos!AD18)),IF(D_I="SI",Datos!J18,Datos!J18+Datos!AD18)," - ")</f>
        <v>101</v>
      </c>
      <c r="F18" s="240">
        <f>IF(ISNUMBER(IF(D_I="SI",Datos!K18,Datos!K18+Datos!AE18)),IF(D_I="SI",Datos!K18,Datos!K18+Datos!AE18)," - ")</f>
        <v>79</v>
      </c>
      <c r="G18" s="1390" t="str">
        <f>IF(Datos!E18&lt;&gt;"",Datos!E18,Datos!D18)</f>
        <v>37</v>
      </c>
      <c r="H18" s="241">
        <f>IF(ISNUMBER(IF(D_I="SI",Datos!L18,Datos!L18+Datos!AF18)),IF(D_I="SI",Datos!L18,Datos!L18+Datos!AF18)," - ")</f>
        <v>62</v>
      </c>
      <c r="I18" s="1400" t="str">
        <f>IF(ISNUMBER(Datos!AS18/Datos!BM18),Datos!AS18/Datos!BM18," - ")</f>
        <v xml:space="preserve"> - </v>
      </c>
      <c r="J18" s="1401" t="str">
        <f>IF(ISNUMBER((Datos!BY18+Datos!BZ18)/Datos!CN18),(Datos!BY18+Datos!BZ18)/Datos!CN18," - ")</f>
        <v xml:space="preserve"> - </v>
      </c>
      <c r="K18" s="244">
        <f t="shared" si="3"/>
        <v>0.55000000000000004</v>
      </c>
      <c r="L18" s="1402">
        <f>IF(ISNUMBER(NºAsuntos!I18/NºAsuntos!G18),(NºAsuntos!I18/NºAsuntos!G18)*11," - ")</f>
        <v>8.6329113924050631</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786</v>
      </c>
      <c r="D23" s="1407">
        <f>SUBTOTAL(9,D16:D22)</f>
        <v>774</v>
      </c>
      <c r="E23" s="1408">
        <f>SUBTOTAL(9,E16:E22)</f>
        <v>1554</v>
      </c>
      <c r="F23" s="1408">
        <f>SUBTOTAL(9,F16:F22)</f>
        <v>1728</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40" t="str">
        <f>Datos!A24</f>
        <v xml:space="preserve">Jurisdicción Cont.-Admva.:                      </v>
      </c>
      <c r="B24" s="174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40" t="str">
        <f>Datos!A27</f>
        <v xml:space="preserve">Jurisdicción Social:                            </v>
      </c>
      <c r="B27" s="174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789</v>
      </c>
      <c r="D31" s="1435">
        <f>SUBTOTAL(9,D9:D30)</f>
        <v>777</v>
      </c>
      <c r="E31" s="1436">
        <f>SUBTOTAL(9,E9:E30)</f>
        <v>1559</v>
      </c>
      <c r="F31" s="1436">
        <f>SUBTOTAL(9,F9:F30)</f>
        <v>1733</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14 abr.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11" t="s">
        <v>842</v>
      </c>
      <c r="O37" s="1711"/>
      <c r="P37" s="1711"/>
      <c r="Q37" s="1711"/>
      <c r="R37" s="1711"/>
      <c r="S37" s="1711"/>
      <c r="T37" s="1711"/>
      <c r="U37" s="1711"/>
      <c r="V37" s="1711"/>
      <c r="W37" s="1711"/>
      <c r="Y37" s="1711" t="s">
        <v>843</v>
      </c>
      <c r="Z37" s="1711"/>
      <c r="AA37" s="1711"/>
      <c r="AB37" s="1711"/>
      <c r="AC37" s="1711"/>
    </row>
    <row r="39" spans="2:29">
      <c r="N39" s="1386" t="s">
        <v>844</v>
      </c>
      <c r="O39" s="1706" t="s">
        <v>845</v>
      </c>
      <c r="P39" s="1706"/>
      <c r="Q39" s="1706"/>
      <c r="R39" s="1706"/>
      <c r="S39" s="1706"/>
      <c r="T39" s="1706"/>
      <c r="U39" s="1706"/>
      <c r="V39" s="1706"/>
      <c r="W39" s="1706"/>
      <c r="Y39" s="1386" t="s">
        <v>844</v>
      </c>
      <c r="Z39" s="1709" t="s">
        <v>846</v>
      </c>
      <c r="AA39" s="1709"/>
      <c r="AB39" s="1709"/>
      <c r="AC39" s="1709"/>
    </row>
    <row r="40" spans="2:29">
      <c r="N40" s="1386" t="s">
        <v>847</v>
      </c>
      <c r="O40" s="1706" t="s">
        <v>848</v>
      </c>
      <c r="P40" s="1706"/>
      <c r="Q40" s="1706"/>
      <c r="R40" s="1706"/>
      <c r="S40" s="1706"/>
      <c r="T40" s="1706"/>
      <c r="U40" s="1706"/>
      <c r="V40" s="1706"/>
      <c r="W40" s="1706"/>
      <c r="Y40" s="1386" t="s">
        <v>847</v>
      </c>
      <c r="Z40" s="1709" t="s">
        <v>849</v>
      </c>
      <c r="AA40" s="1709"/>
      <c r="AB40" s="1709"/>
      <c r="AC40" s="1709"/>
    </row>
    <row r="41" spans="2:29">
      <c r="N41" s="1386" t="s">
        <v>850</v>
      </c>
      <c r="O41" s="1706" t="s">
        <v>851</v>
      </c>
      <c r="P41" s="1706"/>
      <c r="Q41" s="1706"/>
      <c r="R41" s="1706"/>
      <c r="S41" s="1706"/>
      <c r="T41" s="1706"/>
      <c r="U41" s="1706"/>
      <c r="V41" s="1706"/>
      <c r="W41" s="1706"/>
      <c r="Y41" s="1386" t="s">
        <v>852</v>
      </c>
      <c r="Z41" s="1709" t="s">
        <v>853</v>
      </c>
      <c r="AA41" s="1709"/>
      <c r="AB41" s="1709"/>
      <c r="AC41" s="1709"/>
    </row>
    <row r="42" spans="2:29">
      <c r="N42" s="1386" t="s">
        <v>854</v>
      </c>
      <c r="O42" s="1706" t="s">
        <v>855</v>
      </c>
      <c r="P42" s="1706"/>
      <c r="Q42" s="1706"/>
      <c r="R42" s="1706"/>
      <c r="S42" s="1706"/>
      <c r="T42" s="1706"/>
      <c r="U42" s="1706"/>
      <c r="V42" s="1706"/>
      <c r="W42" s="1706"/>
      <c r="Y42" s="1386" t="s">
        <v>856</v>
      </c>
      <c r="Z42" s="1709" t="s">
        <v>857</v>
      </c>
      <c r="AA42" s="1709"/>
      <c r="AB42" s="1709"/>
      <c r="AC42" s="1709"/>
    </row>
    <row r="43" spans="2:29">
      <c r="N43" s="1386" t="s">
        <v>944</v>
      </c>
      <c r="O43" s="1706" t="s">
        <v>945</v>
      </c>
      <c r="P43" s="1706"/>
      <c r="Q43" s="1706"/>
      <c r="R43" s="1706"/>
      <c r="S43" s="1706"/>
      <c r="T43" s="1706"/>
      <c r="U43" s="1706"/>
      <c r="V43" s="1706"/>
      <c r="W43" s="1706"/>
      <c r="Y43" s="1386" t="s">
        <v>850</v>
      </c>
      <c r="Z43" s="1709" t="s">
        <v>851</v>
      </c>
      <c r="AA43" s="1709"/>
      <c r="AB43" s="1709"/>
      <c r="AC43" s="1709"/>
    </row>
    <row r="44" spans="2:29">
      <c r="N44" s="1386" t="s">
        <v>858</v>
      </c>
      <c r="O44" s="1706" t="s">
        <v>859</v>
      </c>
      <c r="P44" s="1706"/>
      <c r="Q44" s="1706"/>
      <c r="R44" s="1706"/>
      <c r="S44" s="1706"/>
      <c r="T44" s="1706"/>
      <c r="U44" s="1706"/>
      <c r="V44" s="1706"/>
      <c r="W44" s="1706"/>
      <c r="Y44" s="1386" t="s">
        <v>854</v>
      </c>
      <c r="Z44" s="1709" t="s">
        <v>855</v>
      </c>
      <c r="AA44" s="1709"/>
      <c r="AB44" s="1709"/>
      <c r="AC44" s="1709"/>
    </row>
    <row r="45" spans="2:29">
      <c r="N45" s="1386" t="s">
        <v>860</v>
      </c>
      <c r="O45" s="1706" t="s">
        <v>861</v>
      </c>
      <c r="P45" s="1706"/>
      <c r="Q45" s="1706"/>
      <c r="R45" s="1706"/>
      <c r="S45" s="1706"/>
      <c r="T45" s="1706"/>
      <c r="U45" s="1706"/>
      <c r="V45" s="1706"/>
      <c r="W45" s="1706"/>
      <c r="Y45" s="1386" t="s">
        <v>863</v>
      </c>
      <c r="Z45" s="1709" t="s">
        <v>864</v>
      </c>
      <c r="AA45" s="1709"/>
      <c r="AB45" s="1709"/>
      <c r="AC45" s="1709"/>
    </row>
    <row r="46" spans="2:29">
      <c r="N46" s="1386" t="s">
        <v>852</v>
      </c>
      <c r="O46" s="1706" t="s">
        <v>862</v>
      </c>
      <c r="P46" s="1706"/>
      <c r="Q46" s="1706"/>
      <c r="R46" s="1706"/>
      <c r="S46" s="1706"/>
      <c r="T46" s="1706"/>
      <c r="U46" s="1706"/>
      <c r="V46" s="1706"/>
      <c r="W46" s="1706"/>
      <c r="Y46" s="1386" t="s">
        <v>866</v>
      </c>
      <c r="Z46" s="1709" t="s">
        <v>867</v>
      </c>
      <c r="AA46" s="1709"/>
      <c r="AB46" s="1709"/>
      <c r="AC46" s="1709"/>
    </row>
    <row r="47" spans="2:29">
      <c r="N47" s="1386" t="s">
        <v>856</v>
      </c>
      <c r="O47" s="1706" t="s">
        <v>865</v>
      </c>
      <c r="P47" s="1706"/>
      <c r="Q47" s="1706"/>
      <c r="R47" s="1706"/>
      <c r="S47" s="1706"/>
      <c r="T47" s="1706"/>
      <c r="U47" s="1706"/>
      <c r="V47" s="1706"/>
      <c r="W47" s="1706"/>
      <c r="Y47" s="1387" t="s">
        <v>869</v>
      </c>
      <c r="Z47" s="1707" t="s">
        <v>870</v>
      </c>
      <c r="AA47" s="1707"/>
      <c r="AB47" s="1707"/>
      <c r="AC47" s="1707"/>
    </row>
    <row r="48" spans="2:29">
      <c r="N48" s="1386" t="s">
        <v>863</v>
      </c>
      <c r="O48" s="1706" t="s">
        <v>868</v>
      </c>
      <c r="P48" s="1706"/>
      <c r="Q48" s="1706"/>
      <c r="R48" s="1706"/>
      <c r="S48" s="1706"/>
      <c r="T48" s="1706"/>
      <c r="U48" s="1706"/>
      <c r="V48" s="1706"/>
      <c r="W48" s="1706"/>
      <c r="Y48" s="1386" t="s">
        <v>858</v>
      </c>
      <c r="Z48" s="1709" t="s">
        <v>859</v>
      </c>
      <c r="AA48" s="1709"/>
      <c r="AB48" s="1709"/>
      <c r="AC48" s="1709"/>
    </row>
    <row r="49" spans="14:29">
      <c r="N49" s="1386" t="s">
        <v>871</v>
      </c>
      <c r="O49" s="1706" t="s">
        <v>872</v>
      </c>
      <c r="P49" s="1706"/>
      <c r="Q49" s="1706"/>
      <c r="R49" s="1706"/>
      <c r="S49" s="1706"/>
      <c r="T49" s="1706"/>
      <c r="U49" s="1706"/>
      <c r="V49" s="1706"/>
      <c r="W49" s="1706"/>
      <c r="Y49" s="1388" t="s">
        <v>860</v>
      </c>
      <c r="Z49" s="1710" t="s">
        <v>861</v>
      </c>
      <c r="AA49" s="1710"/>
      <c r="AB49" s="1710"/>
      <c r="AC49" s="1710"/>
    </row>
    <row r="50" spans="14:29">
      <c r="N50" s="1386" t="s">
        <v>866</v>
      </c>
      <c r="O50" s="1706" t="s">
        <v>873</v>
      </c>
      <c r="P50" s="1706"/>
      <c r="Q50" s="1706"/>
      <c r="R50" s="1706"/>
      <c r="S50" s="1706"/>
      <c r="T50" s="1706"/>
      <c r="U50" s="1706"/>
      <c r="V50" s="1706"/>
      <c r="W50" s="1706"/>
    </row>
    <row r="51" spans="14:29">
      <c r="N51" s="1388" t="s">
        <v>869</v>
      </c>
      <c r="O51" s="1708" t="s">
        <v>874</v>
      </c>
      <c r="P51" s="1708"/>
      <c r="Q51" s="1708"/>
      <c r="R51" s="1708"/>
      <c r="S51" s="1708"/>
      <c r="T51" s="1708"/>
      <c r="U51" s="1708"/>
      <c r="V51" s="1708"/>
      <c r="W51" s="1708"/>
    </row>
  </sheetData>
  <sheetProtection algorithmName="SHA-512" hashValue="QbNfbfR2iGmMQk9wwy9sWucFpa0ULdvVNt1X90PyzKnmAqEuAJG/x1AAlnFAjGThdZFrTMWO4dyvvs6BCtWukA==" saltValue="5TAe8NTw6NnSj1PENi+PkQ==" spinCount="100000" sheet="1" objects="1" scenarios="1"/>
  <mergeCells count="50">
    <mergeCell ref="A27:B27"/>
    <mergeCell ref="C5:C7"/>
    <mergeCell ref="D5:D7"/>
    <mergeCell ref="L5:L7"/>
    <mergeCell ref="E5:E7"/>
    <mergeCell ref="F5:F7"/>
    <mergeCell ref="G5:G7"/>
    <mergeCell ref="I5:I7"/>
    <mergeCell ref="K5:K7"/>
    <mergeCell ref="A5:A7"/>
    <mergeCell ref="B5:B6"/>
    <mergeCell ref="A15:B15"/>
    <mergeCell ref="A8:B8"/>
    <mergeCell ref="A24:B24"/>
    <mergeCell ref="N5:O6"/>
    <mergeCell ref="Q5:S6"/>
    <mergeCell ref="W5:Z6"/>
    <mergeCell ref="AA5:AD6"/>
    <mergeCell ref="H4:L4"/>
    <mergeCell ref="N4:AD4"/>
    <mergeCell ref="H5:H7"/>
    <mergeCell ref="M5:M7"/>
    <mergeCell ref="J5:J7"/>
    <mergeCell ref="T5:V6"/>
    <mergeCell ref="N37:W37"/>
    <mergeCell ref="Y37:AC37"/>
    <mergeCell ref="O39:W39"/>
    <mergeCell ref="Z39:AC39"/>
    <mergeCell ref="O40:W40"/>
    <mergeCell ref="Z40:AC40"/>
    <mergeCell ref="O41:W41"/>
    <mergeCell ref="Z41:AC41"/>
    <mergeCell ref="O42:W42"/>
    <mergeCell ref="Z42:AC42"/>
    <mergeCell ref="O44:W44"/>
    <mergeCell ref="Z43:AC43"/>
    <mergeCell ref="O43:W43"/>
    <mergeCell ref="Z44:AC44"/>
    <mergeCell ref="O45:W45"/>
    <mergeCell ref="O46:W46"/>
    <mergeCell ref="Z45:AC45"/>
    <mergeCell ref="O47:W47"/>
    <mergeCell ref="Z46:AC46"/>
    <mergeCell ref="O48:W48"/>
    <mergeCell ref="Z47:AC47"/>
    <mergeCell ref="O49:W49"/>
    <mergeCell ref="O50:W50"/>
    <mergeCell ref="O51:W51"/>
    <mergeCell ref="Z48:AC48"/>
    <mergeCell ref="Z49:AC49"/>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nE6XRSvMm86Dwp4JsG9hfs5qlXH7574THLTSzXR4K3W4TehLv2oBilDwdXUr8E6xhn3XiOXaWzOi5poA7TFytQ==" saltValue="KPEVsN2fScuy5FNyswDfg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EG1" activePane="topRight" state="frozen"/>
      <selection pane="topRight"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ARAGON</v>
      </c>
    </row>
    <row r="4" spans="1:155" ht="13.5" thickBot="1">
      <c r="A4" t="str">
        <f>Criterios!A10</f>
        <v>Provincias</v>
      </c>
      <c r="B4" t="str">
        <f>Criterios!B10</f>
        <v>ZARAGOZA</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413</v>
      </c>
      <c r="BN5" s="1630"/>
      <c r="BO5" s="1631"/>
      <c r="BP5" s="1630"/>
      <c r="BQ5" s="1631"/>
      <c r="BR5" s="1630"/>
      <c r="BS5" s="1631"/>
      <c r="BT5" s="1630"/>
      <c r="BU5" s="1631"/>
      <c r="BV5" s="1807" t="s">
        <v>349</v>
      </c>
      <c r="BW5" s="1813" t="s">
        <v>327</v>
      </c>
      <c r="BX5" s="1813"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547</v>
      </c>
      <c r="CL5" s="1774" t="s">
        <v>548</v>
      </c>
      <c r="CM5" s="1774" t="s">
        <v>586</v>
      </c>
      <c r="CN5" s="1858" t="s">
        <v>484</v>
      </c>
      <c r="CO5" s="1858" t="s">
        <v>477</v>
      </c>
      <c r="CP5" s="1858" t="s">
        <v>483</v>
      </c>
      <c r="CQ5" s="1873" t="s">
        <v>482</v>
      </c>
      <c r="CR5" s="1873" t="s">
        <v>482</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643</v>
      </c>
      <c r="DM5" s="1777" t="s">
        <v>714</v>
      </c>
      <c r="DN5" s="1777" t="s">
        <v>715</v>
      </c>
      <c r="DO5" s="1777" t="s">
        <v>716</v>
      </c>
      <c r="DP5" s="1777" t="s">
        <v>717</v>
      </c>
      <c r="DQ5" s="1777" t="s">
        <v>718</v>
      </c>
      <c r="DR5" s="1777" t="s">
        <v>719</v>
      </c>
      <c r="DS5" s="1777" t="s">
        <v>720</v>
      </c>
      <c r="DT5" s="1777" t="s">
        <v>721</v>
      </c>
      <c r="DU5" s="1778" t="s">
        <v>722</v>
      </c>
      <c r="DV5" s="1756" t="s">
        <v>723</v>
      </c>
      <c r="DW5" s="1753" t="s">
        <v>724</v>
      </c>
      <c r="DX5" s="1777" t="s">
        <v>725</v>
      </c>
      <c r="DY5" s="1750" t="s">
        <v>726</v>
      </c>
      <c r="DZ5" s="1753" t="s">
        <v>727</v>
      </c>
      <c r="EA5" s="1750" t="s">
        <v>728</v>
      </c>
      <c r="EB5" s="1784" t="s">
        <v>788</v>
      </c>
      <c r="EC5" s="1784" t="s">
        <v>789</v>
      </c>
      <c r="ED5" s="1784" t="s">
        <v>790</v>
      </c>
      <c r="EE5" s="1784" t="s">
        <v>830</v>
      </c>
      <c r="EF5" s="1784" t="s">
        <v>834</v>
      </c>
      <c r="EG5" s="1750" t="s">
        <v>832</v>
      </c>
      <c r="EH5" s="1750" t="s">
        <v>833</v>
      </c>
      <c r="EI5" s="1750" t="s">
        <v>792</v>
      </c>
      <c r="EJ5" s="1750" t="s">
        <v>793</v>
      </c>
      <c r="EK5" s="1765" t="s">
        <v>881</v>
      </c>
      <c r="EL5" s="1768" t="s">
        <v>899</v>
      </c>
      <c r="EM5" s="1769"/>
      <c r="EN5" s="1770"/>
      <c r="EO5" s="1762" t="s">
        <v>999</v>
      </c>
      <c r="EP5" s="1762" t="s">
        <v>1001</v>
      </c>
      <c r="EQ5" s="1762" t="s">
        <v>1002</v>
      </c>
      <c r="ER5" s="1762" t="s">
        <v>1007</v>
      </c>
      <c r="ES5" s="1762" t="s">
        <v>1017</v>
      </c>
      <c r="ET5" s="1759" t="s">
        <v>1105</v>
      </c>
      <c r="EU5" s="1759" t="s">
        <v>1106</v>
      </c>
      <c r="EV5" s="1870" t="s">
        <v>1127</v>
      </c>
      <c r="EW5" s="1870" t="s">
        <v>1133</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998</v>
      </c>
      <c r="B7" s="1821"/>
      <c r="C7" s="1824"/>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900</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1107</v>
      </c>
      <c r="EU8" s="1519" t="s">
        <v>1108</v>
      </c>
      <c r="EV8" s="165" t="s">
        <v>1116</v>
      </c>
      <c r="EW8" s="165">
        <v>153</v>
      </c>
      <c r="EX8" s="532" t="s">
        <v>1169</v>
      </c>
      <c r="EY8" s="532" t="s">
        <v>1183</v>
      </c>
    </row>
    <row r="9" spans="1:155" ht="14.25" customHeight="1">
      <c r="A9" s="20" t="s">
        <v>72</v>
      </c>
      <c r="B9" s="21" t="s">
        <v>519</v>
      </c>
      <c r="C9" s="22" t="s">
        <v>8</v>
      </c>
      <c r="D9" s="23" t="s">
        <v>25</v>
      </c>
      <c r="E9" s="21" t="s">
        <v>26</v>
      </c>
      <c r="F9" s="21">
        <v>32</v>
      </c>
      <c r="G9" s="6"/>
      <c r="H9" s="146" t="s">
        <v>320</v>
      </c>
      <c r="I9" s="193" t="s">
        <v>1086</v>
      </c>
      <c r="J9" s="194" t="s">
        <v>1073</v>
      </c>
      <c r="K9" s="194" t="s">
        <v>1149</v>
      </c>
      <c r="L9" s="194" t="s">
        <v>1091</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1142</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3</v>
      </c>
      <c r="J10" s="194">
        <v>5</v>
      </c>
      <c r="K10" s="194">
        <v>5</v>
      </c>
      <c r="L10" s="194">
        <v>3</v>
      </c>
      <c r="M10" s="194">
        <v>0</v>
      </c>
      <c r="N10" s="194">
        <v>0</v>
      </c>
      <c r="O10" s="194">
        <v>0</v>
      </c>
      <c r="P10" s="194">
        <v>0</v>
      </c>
      <c r="Q10" s="194">
        <v>0</v>
      </c>
      <c r="R10" s="194">
        <v>0</v>
      </c>
      <c r="S10" s="194">
        <v>3</v>
      </c>
      <c r="T10" s="194">
        <v>3</v>
      </c>
      <c r="U10" s="194">
        <v>3</v>
      </c>
      <c r="V10" s="194">
        <v>3</v>
      </c>
      <c r="W10" s="194">
        <v>0</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3</v>
      </c>
      <c r="AZ10" s="139">
        <f t="shared" si="0"/>
        <v>3</v>
      </c>
      <c r="BA10" s="139">
        <f t="shared" si="0"/>
        <v>3</v>
      </c>
      <c r="BB10" s="139">
        <f t="shared" si="0"/>
        <v>3</v>
      </c>
      <c r="BC10" s="135">
        <f t="shared" si="0"/>
        <v>0</v>
      </c>
      <c r="BD10" s="136">
        <f>IF(ISNUMBER(BA10/AZ10),BA10/AZ10," - ")</f>
        <v>1</v>
      </c>
      <c r="BE10" s="137">
        <f>IF(ISNUMBER(BB10/BA10),BB10/BA10, " - ")</f>
        <v>1</v>
      </c>
      <c r="BF10" s="137">
        <f>IF(ISNUMBER(BC10/BA10),BC10/BA10, " - ")</f>
        <v>0</v>
      </c>
      <c r="BG10" s="209">
        <f>IF(ISNUMBER((AY10+AZ10)/BA10),(AY10+AZ10)/BA10," - ")</f>
        <v>2</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1086</v>
      </c>
      <c r="J11" s="196" t="s">
        <v>1073</v>
      </c>
      <c r="K11" s="196" t="s">
        <v>1149</v>
      </c>
      <c r="L11" s="196" t="s">
        <v>1091</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1145</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854</v>
      </c>
      <c r="J12" s="196">
        <v>1103</v>
      </c>
      <c r="K12" s="196">
        <v>1160</v>
      </c>
      <c r="L12" s="196">
        <v>797</v>
      </c>
      <c r="M12" s="196">
        <v>268</v>
      </c>
      <c r="N12" s="196">
        <v>425</v>
      </c>
      <c r="O12" s="194">
        <v>641</v>
      </c>
      <c r="P12" s="196">
        <v>561</v>
      </c>
      <c r="Q12" s="196">
        <v>478</v>
      </c>
      <c r="R12" s="196">
        <v>1503</v>
      </c>
      <c r="S12" s="196">
        <v>707</v>
      </c>
      <c r="T12" s="196">
        <v>1108</v>
      </c>
      <c r="U12" s="196">
        <v>1217</v>
      </c>
      <c r="V12" s="196">
        <v>854</v>
      </c>
      <c r="W12" s="196">
        <v>214</v>
      </c>
      <c r="X12" s="202">
        <v>297</v>
      </c>
      <c r="Y12" s="204">
        <v>95</v>
      </c>
      <c r="Z12" s="194">
        <v>106</v>
      </c>
      <c r="AA12" s="194">
        <v>74</v>
      </c>
      <c r="AB12" s="194">
        <v>127</v>
      </c>
      <c r="AC12" s="196">
        <v>0</v>
      </c>
      <c r="AD12" s="196">
        <v>0</v>
      </c>
      <c r="AE12" s="196">
        <v>0</v>
      </c>
      <c r="AF12" s="202">
        <v>0</v>
      </c>
      <c r="AG12" s="215">
        <v>28</v>
      </c>
      <c r="AH12" s="196">
        <v>134</v>
      </c>
      <c r="AI12" s="196">
        <v>116</v>
      </c>
      <c r="AJ12" s="216">
        <v>95</v>
      </c>
      <c r="AK12" s="195">
        <v>0</v>
      </c>
      <c r="AL12" s="196">
        <v>0</v>
      </c>
      <c r="AM12" s="196">
        <v>0</v>
      </c>
      <c r="AN12" s="202">
        <v>0</v>
      </c>
      <c r="AO12" s="283">
        <v>2</v>
      </c>
      <c r="AP12" s="168">
        <v>2</v>
      </c>
      <c r="AQ12" s="168">
        <v>2</v>
      </c>
      <c r="AR12" s="167">
        <v>2</v>
      </c>
      <c r="AS12" s="381" t="s">
        <v>1075</v>
      </c>
      <c r="AT12" s="216"/>
      <c r="AU12" s="215"/>
      <c r="AV12" s="216"/>
      <c r="AW12" s="215"/>
      <c r="AX12" s="216"/>
      <c r="AY12" s="136">
        <f t="shared" si="1"/>
        <v>735</v>
      </c>
      <c r="AZ12" s="137">
        <f t="shared" si="1"/>
        <v>1242</v>
      </c>
      <c r="BA12" s="137">
        <f t="shared" si="1"/>
        <v>1333</v>
      </c>
      <c r="BB12" s="137">
        <f t="shared" si="1"/>
        <v>949</v>
      </c>
      <c r="BC12" s="135">
        <f>IF(ISNUMBER(X12),X12," - ")</f>
        <v>297</v>
      </c>
      <c r="BD12" s="136">
        <f t="shared" si="2"/>
        <v>1.0732689210950082</v>
      </c>
      <c r="BE12" s="137">
        <f t="shared" si="3"/>
        <v>0.71192798199549889</v>
      </c>
      <c r="BF12" s="137">
        <f t="shared" si="4"/>
        <v>0.22280570142535633</v>
      </c>
      <c r="BG12" s="209">
        <f t="shared" si="5"/>
        <v>1.4831207801950488</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1143</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857</v>
      </c>
      <c r="J14" s="197">
        <f t="shared" si="7"/>
        <v>1108</v>
      </c>
      <c r="K14" s="197">
        <f t="shared" si="7"/>
        <v>1165</v>
      </c>
      <c r="L14" s="197">
        <f t="shared" si="7"/>
        <v>800</v>
      </c>
      <c r="M14" s="197">
        <f t="shared" si="7"/>
        <v>268</v>
      </c>
      <c r="N14" s="197">
        <f t="shared" si="7"/>
        <v>425</v>
      </c>
      <c r="O14" s="197">
        <f t="shared" si="7"/>
        <v>641</v>
      </c>
      <c r="P14" s="197">
        <f t="shared" si="7"/>
        <v>561</v>
      </c>
      <c r="Q14" s="197">
        <f t="shared" si="7"/>
        <v>478</v>
      </c>
      <c r="R14" s="197">
        <f t="shared" si="7"/>
        <v>1503</v>
      </c>
      <c r="S14" s="197">
        <f t="shared" si="7"/>
        <v>710</v>
      </c>
      <c r="T14" s="197">
        <f t="shared" si="7"/>
        <v>1111</v>
      </c>
      <c r="U14" s="197">
        <f t="shared" si="7"/>
        <v>1220</v>
      </c>
      <c r="V14" s="197">
        <f t="shared" si="7"/>
        <v>857</v>
      </c>
      <c r="W14" s="197">
        <f t="shared" si="7"/>
        <v>214</v>
      </c>
      <c r="X14" s="197">
        <f t="shared" si="7"/>
        <v>297</v>
      </c>
      <c r="Y14" s="197">
        <f t="shared" si="7"/>
        <v>95</v>
      </c>
      <c r="Z14" s="197">
        <f t="shared" si="7"/>
        <v>106</v>
      </c>
      <c r="AA14" s="197">
        <f t="shared" si="7"/>
        <v>74</v>
      </c>
      <c r="AB14" s="197">
        <f t="shared" si="7"/>
        <v>127</v>
      </c>
      <c r="AC14" s="197">
        <f t="shared" si="7"/>
        <v>0</v>
      </c>
      <c r="AD14" s="197">
        <f t="shared" si="7"/>
        <v>0</v>
      </c>
      <c r="AE14" s="197">
        <f t="shared" si="7"/>
        <v>0</v>
      </c>
      <c r="AF14" s="197">
        <f>SUBTOTAL(9,AF9:AF13)</f>
        <v>0</v>
      </c>
      <c r="AG14" s="197">
        <f t="shared" ref="AG14:AT14" si="8">SUBTOTAL(9,AG8:AG13)</f>
        <v>28</v>
      </c>
      <c r="AH14" s="197">
        <f t="shared" si="8"/>
        <v>134</v>
      </c>
      <c r="AI14" s="197">
        <f t="shared" si="8"/>
        <v>116</v>
      </c>
      <c r="AJ14" s="197">
        <f t="shared" si="8"/>
        <v>95</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738</v>
      </c>
      <c r="AZ14" s="197">
        <f>SUBTOTAL(9,AZ8:AZ13)</f>
        <v>1245</v>
      </c>
      <c r="BA14" s="197">
        <f>SUBTOTAL(9,BA8:BA13)</f>
        <v>1336</v>
      </c>
      <c r="BB14" s="197">
        <f>SUBTOTAL(9,BB8:BB13)</f>
        <v>952</v>
      </c>
      <c r="BC14" s="197">
        <f>SUBTOTAL(9,BC8:BC13)</f>
        <v>297</v>
      </c>
      <c r="BD14" s="219">
        <f>IF(ISNUMBER(BA14/AZ14),BA14/AZ14," - ")</f>
        <v>1.0730923694779118</v>
      </c>
      <c r="BE14" s="220">
        <f>IF(ISNUMBER(BB14/BA14),BB14/BA14, " - ")</f>
        <v>0.71257485029940115</v>
      </c>
      <c r="BF14" s="220">
        <f>IF(ISNUMBER(BC14/BA14),BC14/BA14, " - ")</f>
        <v>0.22230538922155688</v>
      </c>
      <c r="BG14" s="221">
        <f>IF(ISNUMBER((AY14+AZ14)/BA14),(AY14+AZ14)/BA14," - ")</f>
        <v>1.4842814371257484</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734</v>
      </c>
      <c r="J17" s="196">
        <v>1453</v>
      </c>
      <c r="K17" s="196">
        <v>1649</v>
      </c>
      <c r="L17" s="196">
        <v>550</v>
      </c>
      <c r="M17" s="196">
        <v>158</v>
      </c>
      <c r="N17" s="196">
        <v>1193</v>
      </c>
      <c r="O17" s="194">
        <v>11</v>
      </c>
      <c r="P17" s="196">
        <v>27</v>
      </c>
      <c r="Q17" s="196">
        <v>40</v>
      </c>
      <c r="R17" s="196">
        <v>62</v>
      </c>
      <c r="S17" s="196">
        <v>663</v>
      </c>
      <c r="T17" s="196">
        <v>1218</v>
      </c>
      <c r="U17" s="196">
        <v>1223</v>
      </c>
      <c r="V17" s="196">
        <v>734</v>
      </c>
      <c r="W17" s="196">
        <v>130</v>
      </c>
      <c r="X17" s="202">
        <v>776</v>
      </c>
      <c r="Y17" s="215">
        <v>0</v>
      </c>
      <c r="Z17" s="196">
        <v>0</v>
      </c>
      <c r="AA17" s="196">
        <v>0</v>
      </c>
      <c r="AB17" s="196">
        <v>0</v>
      </c>
      <c r="AC17" s="196">
        <v>10</v>
      </c>
      <c r="AD17" s="196">
        <v>73</v>
      </c>
      <c r="AE17" s="196">
        <v>67</v>
      </c>
      <c r="AF17" s="202">
        <v>16</v>
      </c>
      <c r="AG17" s="215">
        <v>0</v>
      </c>
      <c r="AH17" s="196">
        <v>0</v>
      </c>
      <c r="AI17" s="196">
        <v>0</v>
      </c>
      <c r="AJ17" s="216">
        <v>0</v>
      </c>
      <c r="AK17" s="195">
        <v>21</v>
      </c>
      <c r="AL17" s="196">
        <v>26</v>
      </c>
      <c r="AM17" s="196">
        <v>34</v>
      </c>
      <c r="AN17" s="202">
        <v>10</v>
      </c>
      <c r="AO17" s="283">
        <v>2</v>
      </c>
      <c r="AP17" s="168">
        <v>2</v>
      </c>
      <c r="AQ17" s="168">
        <v>2</v>
      </c>
      <c r="AR17" s="168">
        <v>2</v>
      </c>
      <c r="AS17" s="381" t="s">
        <v>650</v>
      </c>
      <c r="AT17" s="216"/>
      <c r="AU17" s="215"/>
      <c r="AV17" s="216"/>
      <c r="AW17" s="215"/>
      <c r="AX17" s="216"/>
      <c r="AY17" s="136">
        <f t="shared" si="10"/>
        <v>663</v>
      </c>
      <c r="AZ17" s="137">
        <f t="shared" si="10"/>
        <v>1218</v>
      </c>
      <c r="BA17" s="137">
        <f t="shared" si="10"/>
        <v>1223</v>
      </c>
      <c r="BB17" s="137">
        <f t="shared" si="10"/>
        <v>734</v>
      </c>
      <c r="BC17" s="135">
        <f>IF(ISNUMBER(W17),W17," - ")</f>
        <v>130</v>
      </c>
      <c r="BD17" s="136">
        <f t="shared" ref="BD17:BD22" si="12">IF(ISNUMBER(BA17/AZ17),BA17/AZ17," - ")</f>
        <v>1.0041050903119868</v>
      </c>
      <c r="BE17" s="137">
        <f t="shared" ref="BE17:BE22" si="13">IF(ISNUMBER(BB17/BA17),BB17/BA17, " - ")</f>
        <v>0.60016353229762875</v>
      </c>
      <c r="BF17" s="137">
        <f t="shared" ref="BF17:BF22" si="14">IF(ISNUMBER(BC17/BA17),BC17/BA17, " - ")</f>
        <v>0.10629599345870809</v>
      </c>
      <c r="BG17" s="209">
        <f t="shared" si="11"/>
        <v>1.5380212591986917</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40</v>
      </c>
      <c r="J18" s="196">
        <v>101</v>
      </c>
      <c r="K18" s="196">
        <v>79</v>
      </c>
      <c r="L18" s="196">
        <v>62</v>
      </c>
      <c r="M18" s="196">
        <v>10</v>
      </c>
      <c r="N18" s="196">
        <v>76</v>
      </c>
      <c r="O18" s="196">
        <v>0</v>
      </c>
      <c r="P18" s="196">
        <v>1</v>
      </c>
      <c r="Q18" s="196">
        <v>0</v>
      </c>
      <c r="R18" s="196">
        <v>1</v>
      </c>
      <c r="S18" s="196">
        <v>52</v>
      </c>
      <c r="T18" s="196">
        <v>48</v>
      </c>
      <c r="U18" s="196">
        <v>32</v>
      </c>
      <c r="V18" s="196">
        <v>40</v>
      </c>
      <c r="W18" s="196">
        <v>5</v>
      </c>
      <c r="X18" s="202">
        <v>34</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52</v>
      </c>
      <c r="AZ18" s="139">
        <f t="shared" si="15"/>
        <v>48</v>
      </c>
      <c r="BA18" s="139">
        <f t="shared" si="15"/>
        <v>32</v>
      </c>
      <c r="BB18" s="139">
        <f t="shared" si="15"/>
        <v>40</v>
      </c>
      <c r="BC18" s="135">
        <f>IF(ISNUMBER(W18),W18," - ")</f>
        <v>5</v>
      </c>
      <c r="BD18" s="136">
        <f>IF(ISNUMBER(BA18/AZ18),BA18/AZ18," - ")</f>
        <v>0.66666666666666663</v>
      </c>
      <c r="BE18" s="137">
        <f>IF(ISNUMBER(BB18/BA18),BB18/BA18, " - ")</f>
        <v>1.25</v>
      </c>
      <c r="BF18" s="137">
        <f>IF(ISNUMBER(BC18/BA18),BC18/BA18, " - ")</f>
        <v>0.15625</v>
      </c>
      <c r="BG18" s="209">
        <f>IF(ISNUMBER((AY18+AZ18)/BA18),(AY18+AZ18)/BA18," - ")</f>
        <v>3.125</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774</v>
      </c>
      <c r="J23" s="197">
        <f t="shared" si="21"/>
        <v>1554</v>
      </c>
      <c r="K23" s="197">
        <f t="shared" si="21"/>
        <v>1728</v>
      </c>
      <c r="L23" s="197">
        <f t="shared" si="21"/>
        <v>612</v>
      </c>
      <c r="M23" s="197">
        <f t="shared" si="21"/>
        <v>168</v>
      </c>
      <c r="N23" s="197">
        <f t="shared" si="21"/>
        <v>1269</v>
      </c>
      <c r="O23" s="197">
        <f t="shared" si="21"/>
        <v>11</v>
      </c>
      <c r="P23" s="197">
        <f t="shared" si="21"/>
        <v>28</v>
      </c>
      <c r="Q23" s="197">
        <f t="shared" si="21"/>
        <v>40</v>
      </c>
      <c r="R23" s="197">
        <f t="shared" si="21"/>
        <v>63</v>
      </c>
      <c r="S23" s="197">
        <f t="shared" si="21"/>
        <v>715</v>
      </c>
      <c r="T23" s="197">
        <f t="shared" si="21"/>
        <v>1266</v>
      </c>
      <c r="U23" s="197">
        <f t="shared" si="21"/>
        <v>1255</v>
      </c>
      <c r="V23" s="197">
        <f t="shared" si="21"/>
        <v>774</v>
      </c>
      <c r="W23" s="197">
        <f t="shared" si="21"/>
        <v>135</v>
      </c>
      <c r="X23" s="197">
        <f t="shared" si="21"/>
        <v>810</v>
      </c>
      <c r="Y23" s="197">
        <f t="shared" si="21"/>
        <v>0</v>
      </c>
      <c r="Z23" s="197">
        <f t="shared" si="21"/>
        <v>0</v>
      </c>
      <c r="AA23" s="197">
        <f t="shared" si="21"/>
        <v>0</v>
      </c>
      <c r="AB23" s="197">
        <f t="shared" si="21"/>
        <v>0</v>
      </c>
      <c r="AC23" s="197">
        <f t="shared" si="21"/>
        <v>10</v>
      </c>
      <c r="AD23" s="197">
        <f t="shared" si="21"/>
        <v>73</v>
      </c>
      <c r="AE23" s="197">
        <f t="shared" si="21"/>
        <v>67</v>
      </c>
      <c r="AF23" s="197">
        <f t="shared" si="21"/>
        <v>16</v>
      </c>
      <c r="AG23" s="197">
        <f t="shared" si="21"/>
        <v>0</v>
      </c>
      <c r="AH23" s="197">
        <f t="shared" si="21"/>
        <v>0</v>
      </c>
      <c r="AI23" s="197">
        <f t="shared" si="21"/>
        <v>0</v>
      </c>
      <c r="AJ23" s="197">
        <f t="shared" si="21"/>
        <v>0</v>
      </c>
      <c r="AK23" s="197">
        <f t="shared" si="21"/>
        <v>21</v>
      </c>
      <c r="AL23" s="197">
        <f t="shared" si="21"/>
        <v>26</v>
      </c>
      <c r="AM23" s="197">
        <f t="shared" si="21"/>
        <v>34</v>
      </c>
      <c r="AN23" s="197">
        <f t="shared" si="21"/>
        <v>10</v>
      </c>
      <c r="AO23" s="197">
        <f t="shared" si="21"/>
        <v>3</v>
      </c>
      <c r="AP23" s="197">
        <f t="shared" si="21"/>
        <v>2</v>
      </c>
      <c r="AQ23" s="197">
        <f t="shared" si="21"/>
        <v>2</v>
      </c>
      <c r="AR23" s="197">
        <f t="shared" si="21"/>
        <v>2</v>
      </c>
      <c r="AS23" s="197">
        <f t="shared" si="21"/>
        <v>0</v>
      </c>
      <c r="AT23" s="197">
        <f t="shared" si="21"/>
        <v>0</v>
      </c>
      <c r="AU23" s="217"/>
      <c r="AV23" s="142"/>
      <c r="AW23" s="217"/>
      <c r="AX23" s="142"/>
      <c r="AY23" s="197">
        <f>SUBTOTAL(9,AY15:AY22)</f>
        <v>715</v>
      </c>
      <c r="AZ23" s="197">
        <f>SUBTOTAL(9,AZ15:AZ22)</f>
        <v>1266</v>
      </c>
      <c r="BA23" s="197">
        <f>SUBTOTAL(9,BA15:BA22)</f>
        <v>1255</v>
      </c>
      <c r="BB23" s="197">
        <f>SUBTOTAL(9,BB15:BB22)</f>
        <v>774</v>
      </c>
      <c r="BC23" s="197">
        <f>SUBTOTAL(9,BC15:BC22)</f>
        <v>135</v>
      </c>
      <c r="BD23" s="219">
        <f>IF(ISNUMBER(BA23/AZ23),BA23/AZ23," - ")</f>
        <v>0.99131121642969988</v>
      </c>
      <c r="BE23" s="220">
        <f>IF(ISNUMBER(BB23/BA23),BB23/BA23, " - ")</f>
        <v>0.61673306772908365</v>
      </c>
      <c r="BF23" s="220">
        <f>IF(ISNUMBER(BC23/BA23),BC23/BA23, " - ")</f>
        <v>0.10756972111553785</v>
      </c>
      <c r="BG23" s="221">
        <f>IF(ISNUMBER((AY23+AZ23)/BA23),(AY23+AZ23)/BA23," - ")</f>
        <v>1.5784860557768925</v>
      </c>
      <c r="BH23" s="197">
        <f>SUBTOTAL(9,BH15:BH22)</f>
        <v>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1151</v>
      </c>
      <c r="Q28" s="196" t="s">
        <v>1152</v>
      </c>
      <c r="R28" s="196" t="s">
        <v>1153</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1631</v>
      </c>
      <c r="J31" s="144">
        <f t="shared" si="36"/>
        <v>2662</v>
      </c>
      <c r="K31" s="144">
        <f t="shared" si="36"/>
        <v>2893</v>
      </c>
      <c r="L31" s="144">
        <f t="shared" si="36"/>
        <v>1412</v>
      </c>
      <c r="M31" s="144">
        <f t="shared" si="36"/>
        <v>436</v>
      </c>
      <c r="N31" s="144">
        <f t="shared" si="36"/>
        <v>1694</v>
      </c>
      <c r="O31" s="144">
        <f t="shared" si="36"/>
        <v>652</v>
      </c>
      <c r="P31" s="144">
        <f t="shared" si="36"/>
        <v>589</v>
      </c>
      <c r="Q31" s="144">
        <f t="shared" si="36"/>
        <v>518</v>
      </c>
      <c r="R31" s="144">
        <f t="shared" si="36"/>
        <v>1566</v>
      </c>
      <c r="S31" s="144">
        <f t="shared" si="36"/>
        <v>1425</v>
      </c>
      <c r="T31" s="144">
        <f t="shared" si="36"/>
        <v>2377</v>
      </c>
      <c r="U31" s="144">
        <f t="shared" si="36"/>
        <v>2475</v>
      </c>
      <c r="V31" s="144">
        <f t="shared" si="36"/>
        <v>1631</v>
      </c>
      <c r="W31" s="144">
        <f t="shared" si="36"/>
        <v>349</v>
      </c>
      <c r="X31" s="144">
        <f t="shared" si="36"/>
        <v>1107</v>
      </c>
      <c r="Y31" s="144">
        <f t="shared" si="36"/>
        <v>95</v>
      </c>
      <c r="Z31" s="144">
        <f t="shared" si="36"/>
        <v>106</v>
      </c>
      <c r="AA31" s="144">
        <f t="shared" si="36"/>
        <v>74</v>
      </c>
      <c r="AB31" s="144">
        <f t="shared" si="36"/>
        <v>127</v>
      </c>
      <c r="AC31" s="144">
        <f t="shared" si="36"/>
        <v>10</v>
      </c>
      <c r="AD31" s="144">
        <f t="shared" si="36"/>
        <v>73</v>
      </c>
      <c r="AE31" s="144">
        <f t="shared" si="36"/>
        <v>67</v>
      </c>
      <c r="AF31" s="144">
        <f t="shared" si="36"/>
        <v>16</v>
      </c>
      <c r="AG31" s="144">
        <f t="shared" si="36"/>
        <v>28</v>
      </c>
      <c r="AH31" s="144">
        <f t="shared" si="36"/>
        <v>134</v>
      </c>
      <c r="AI31" s="144">
        <f t="shared" si="36"/>
        <v>116</v>
      </c>
      <c r="AJ31" s="144">
        <f t="shared" si="36"/>
        <v>95</v>
      </c>
      <c r="AK31" s="144">
        <f t="shared" si="36"/>
        <v>21</v>
      </c>
      <c r="AL31" s="144">
        <f t="shared" si="36"/>
        <v>26</v>
      </c>
      <c r="AM31" s="144">
        <f t="shared" si="36"/>
        <v>34</v>
      </c>
      <c r="AN31" s="224">
        <f t="shared" si="36"/>
        <v>10</v>
      </c>
      <c r="AO31" s="225">
        <v>3</v>
      </c>
      <c r="AP31" s="225">
        <v>2</v>
      </c>
      <c r="AQ31" s="225">
        <v>2</v>
      </c>
      <c r="AR31" s="225">
        <v>2</v>
      </c>
      <c r="AS31" s="166">
        <f t="shared" si="36"/>
        <v>0</v>
      </c>
      <c r="AT31" s="166">
        <f t="shared" si="36"/>
        <v>0</v>
      </c>
      <c r="AU31" s="225"/>
      <c r="AV31" s="226"/>
      <c r="AW31" s="225"/>
      <c r="AX31" s="226"/>
      <c r="AY31" s="143">
        <f>SUBTOTAL(9,AY9:AY30)</f>
        <v>1453</v>
      </c>
      <c r="AZ31" s="144">
        <f>SUBTOTAL(9,AZ9:AZ30)</f>
        <v>2511</v>
      </c>
      <c r="BA31" s="144">
        <f>SUBTOTAL(9,BA9:BA30)</f>
        <v>2591</v>
      </c>
      <c r="BB31" s="144">
        <f>SUBTOTAL(9,BB9:BB30)</f>
        <v>1726</v>
      </c>
      <c r="BC31" s="145">
        <f>SUBTOTAL(9,BC9:BC30)</f>
        <v>432</v>
      </c>
      <c r="BD31" s="227">
        <f>IF(ISNUMBER(BA31/AZ31),BA31/AZ31," - ")</f>
        <v>1.0318598168060533</v>
      </c>
      <c r="BE31" s="224">
        <f>IF(ISNUMBER(BB31/BA31),BB31/BA31, " - ")</f>
        <v>0.66615206483983014</v>
      </c>
      <c r="BF31" s="224">
        <f>IF(ISNUMBER(BC31/BA31),BC31/BA31, " - ")</f>
        <v>0.16673099189502122</v>
      </c>
      <c r="BG31" s="145">
        <f>IF(ISNUMBER((AY31+AZ31)/BA31),(AY31+AZ31)/BA31," - ")</f>
        <v>1.5299112311848706</v>
      </c>
      <c r="BH31" s="225">
        <f>SUBTOTAL(9,BH9:BH30)</f>
        <v>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HD4AhnluZ0yyop6dyApu2AczTNytJCSHpyVwp5V9NFnBiMHNDzzS6F9gaSrXwqwV0/W1bM9t3+L9wU3tQqreiA==" saltValue="fAtwhwWIGcdn9ljrpJn8Wg=="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EK1" activePane="topRight" state="frozen"/>
      <selection pane="topRight" activeCell="EY5" sqref="EY5:EY7"/>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ARAGON</v>
      </c>
    </row>
    <row r="4" spans="1:155" ht="13.5" thickBot="1">
      <c r="A4" t="str">
        <f>Criterios!A10</f>
        <v>Provincias</v>
      </c>
      <c r="B4" t="str">
        <f>Criterios!B10</f>
        <v>ZARAGOZA</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502</v>
      </c>
      <c r="BN5" s="1630"/>
      <c r="BO5" s="1631"/>
      <c r="BP5" s="1630"/>
      <c r="BQ5" s="1631"/>
      <c r="BR5" s="1630"/>
      <c r="BS5" s="1631"/>
      <c r="BT5" s="1630"/>
      <c r="BU5" s="1631"/>
      <c r="BV5" s="1807" t="s">
        <v>349</v>
      </c>
      <c r="BW5" s="1876" t="s">
        <v>327</v>
      </c>
      <c r="BX5" s="1876"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602</v>
      </c>
      <c r="CL5" s="1774" t="s">
        <v>603</v>
      </c>
      <c r="CM5" s="1774" t="s">
        <v>604</v>
      </c>
      <c r="CN5" s="1858" t="s">
        <v>484</v>
      </c>
      <c r="CO5" s="1858" t="s">
        <v>477</v>
      </c>
      <c r="CP5" s="1858" t="s">
        <v>483</v>
      </c>
      <c r="CQ5" s="1873" t="s">
        <v>482</v>
      </c>
      <c r="CR5" s="1873" t="s">
        <v>61</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642</v>
      </c>
      <c r="DM5" s="1777" t="s">
        <v>714</v>
      </c>
      <c r="DN5" s="1777" t="s">
        <v>715</v>
      </c>
      <c r="DO5" s="1777" t="s">
        <v>716</v>
      </c>
      <c r="DP5" s="1777" t="s">
        <v>717</v>
      </c>
      <c r="DQ5" s="1777" t="s">
        <v>718</v>
      </c>
      <c r="DR5" s="1777" t="s">
        <v>719</v>
      </c>
      <c r="DS5" s="1777" t="s">
        <v>720</v>
      </c>
      <c r="DT5" s="1777" t="s">
        <v>721</v>
      </c>
      <c r="DU5" s="1756" t="s">
        <v>722</v>
      </c>
      <c r="DV5" s="1756" t="s">
        <v>723</v>
      </c>
      <c r="DW5" s="1753" t="s">
        <v>724</v>
      </c>
      <c r="DX5" s="1777" t="s">
        <v>725</v>
      </c>
      <c r="DY5" s="1750" t="s">
        <v>726</v>
      </c>
      <c r="DZ5" s="1753" t="s">
        <v>727</v>
      </c>
      <c r="EA5" s="1750" t="s">
        <v>728</v>
      </c>
      <c r="EB5" s="1784" t="s">
        <v>788</v>
      </c>
      <c r="EC5" s="1784" t="s">
        <v>825</v>
      </c>
      <c r="ED5" s="1784" t="s">
        <v>790</v>
      </c>
      <c r="EE5" s="1784" t="s">
        <v>830</v>
      </c>
      <c r="EF5" s="1784" t="s">
        <v>831</v>
      </c>
      <c r="EG5" s="1750" t="s">
        <v>832</v>
      </c>
      <c r="EH5" s="1750" t="s">
        <v>833</v>
      </c>
      <c r="EI5" s="1750" t="s">
        <v>792</v>
      </c>
      <c r="EJ5" s="1750" t="s">
        <v>793</v>
      </c>
      <c r="EK5" s="1879" t="s">
        <v>881</v>
      </c>
      <c r="EL5" s="1768" t="s">
        <v>899</v>
      </c>
      <c r="EM5" s="1769"/>
      <c r="EN5" s="1770"/>
      <c r="EO5" s="1762" t="s">
        <v>999</v>
      </c>
      <c r="EP5" s="1762" t="s">
        <v>1001</v>
      </c>
      <c r="EQ5" s="1762" t="s">
        <v>1002</v>
      </c>
      <c r="ER5" s="1762" t="s">
        <v>1007</v>
      </c>
      <c r="ES5" s="1762" t="s">
        <v>1017</v>
      </c>
      <c r="ET5" s="1759" t="s">
        <v>1105</v>
      </c>
      <c r="EU5" s="1759" t="s">
        <v>1106</v>
      </c>
      <c r="EV5" s="1790" t="s">
        <v>1127</v>
      </c>
      <c r="EW5" s="1750" t="s">
        <v>1130</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77"/>
      <c r="BX6" s="1877"/>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57"/>
      <c r="DV6" s="1757"/>
      <c r="DW6" s="1754"/>
      <c r="DX6" s="1677"/>
      <c r="DY6" s="1751"/>
      <c r="DZ6" s="1754"/>
      <c r="EA6" s="1751"/>
      <c r="EB6" s="1785"/>
      <c r="EC6" s="1785"/>
      <c r="ED6" s="1785"/>
      <c r="EE6" s="1785"/>
      <c r="EF6" s="1785"/>
      <c r="EG6" s="1751"/>
      <c r="EH6" s="1751"/>
      <c r="EI6" s="1751"/>
      <c r="EJ6" s="1751"/>
      <c r="EK6" s="1880"/>
      <c r="EL6" s="1771"/>
      <c r="EM6" s="1772"/>
      <c r="EN6" s="1773"/>
      <c r="EO6" s="1763"/>
      <c r="EP6" s="1763"/>
      <c r="EQ6" s="1763"/>
      <c r="ER6" s="1763"/>
      <c r="ES6" s="1763"/>
      <c r="ET6" s="1760"/>
      <c r="EU6" s="1760"/>
      <c r="EV6" s="1791"/>
      <c r="EW6" s="1751"/>
      <c r="EX6" s="1868"/>
      <c r="EY6" s="1862"/>
    </row>
    <row r="7" spans="1:155" ht="87" customHeight="1" thickBot="1">
      <c r="A7" s="72" t="s">
        <v>998</v>
      </c>
      <c r="B7" s="1821"/>
      <c r="C7" s="1824"/>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78"/>
      <c r="BX7" s="1878"/>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58"/>
      <c r="DV7" s="1758"/>
      <c r="DW7" s="1755"/>
      <c r="DX7" s="1678"/>
      <c r="DY7" s="1752"/>
      <c r="DZ7" s="1755"/>
      <c r="EA7" s="1752"/>
      <c r="EB7" s="1786"/>
      <c r="EC7" s="1786"/>
      <c r="ED7" s="1786"/>
      <c r="EE7" s="1786"/>
      <c r="EF7" s="1786"/>
      <c r="EG7" s="1752"/>
      <c r="EH7" s="1752"/>
      <c r="EI7" s="1752"/>
      <c r="EJ7" s="1752"/>
      <c r="EK7" s="1881"/>
      <c r="EL7" s="849" t="s">
        <v>900</v>
      </c>
      <c r="EM7" s="849" t="s">
        <v>129</v>
      </c>
      <c r="EN7" s="849" t="s">
        <v>130</v>
      </c>
      <c r="EO7" s="1764"/>
      <c r="EP7" s="1764"/>
      <c r="EQ7" s="1764"/>
      <c r="ER7" s="1764"/>
      <c r="ES7" s="1764"/>
      <c r="ET7" s="1761"/>
      <c r="EU7" s="1761"/>
      <c r="EV7" s="1792"/>
      <c r="EW7" s="1752"/>
      <c r="EX7" s="1869"/>
      <c r="EY7" s="1863"/>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1107</v>
      </c>
      <c r="EU8" s="1519" t="s">
        <v>1108</v>
      </c>
      <c r="EV8" s="1519" t="s">
        <v>1116</v>
      </c>
      <c r="EW8" s="532" t="s">
        <v>1129</v>
      </c>
      <c r="EX8" s="532" t="s">
        <v>1169</v>
      </c>
      <c r="EY8" s="532" t="s">
        <v>1183</v>
      </c>
    </row>
    <row r="9" spans="1:155" s="788" customFormat="1" ht="14.25" customHeight="1">
      <c r="A9" s="823" t="s">
        <v>72</v>
      </c>
      <c r="B9" s="770" t="s">
        <v>519</v>
      </c>
      <c r="C9" s="771" t="s">
        <v>8</v>
      </c>
      <c r="D9" s="772" t="s">
        <v>25</v>
      </c>
      <c r="E9" s="770" t="s">
        <v>26</v>
      </c>
      <c r="F9" s="770">
        <v>32</v>
      </c>
      <c r="G9" s="773"/>
      <c r="H9" s="824" t="s">
        <v>320</v>
      </c>
      <c r="I9" s="825" t="s">
        <v>1173</v>
      </c>
      <c r="J9" s="775" t="s">
        <v>1175</v>
      </c>
      <c r="K9" s="775" t="s">
        <v>1177</v>
      </c>
      <c r="L9" s="775" t="s">
        <v>1179</v>
      </c>
      <c r="M9" s="775" t="s">
        <v>1181</v>
      </c>
      <c r="N9" s="775" t="s">
        <v>1182</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1077</v>
      </c>
      <c r="AT9" s="832"/>
      <c r="AU9" s="831" t="s">
        <v>1089</v>
      </c>
      <c r="AV9" s="832"/>
      <c r="AW9" s="831" t="s">
        <v>1092</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1147</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1157</v>
      </c>
      <c r="CR9" s="836" t="s">
        <v>645</v>
      </c>
      <c r="CS9" s="530"/>
      <c r="CT9" s="530"/>
      <c r="CU9" s="530"/>
      <c r="CV9" s="530" t="s">
        <v>667</v>
      </c>
      <c r="CW9" s="530" t="s">
        <v>532</v>
      </c>
      <c r="CX9" s="530" t="s">
        <v>454</v>
      </c>
      <c r="CY9" s="530" t="s">
        <v>576</v>
      </c>
      <c r="CZ9" s="530" t="s">
        <v>577</v>
      </c>
      <c r="DA9" s="530" t="s">
        <v>578</v>
      </c>
      <c r="DB9" s="831" t="s">
        <v>1078</v>
      </c>
      <c r="DC9" s="831" t="s">
        <v>1079</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1142</v>
      </c>
      <c r="EP9" s="1318" t="s">
        <v>1164</v>
      </c>
      <c r="EQ9" s="1318" t="s">
        <v>1165</v>
      </c>
      <c r="ER9" s="1337">
        <v>1200</v>
      </c>
      <c r="ES9" s="1331"/>
      <c r="ET9" s="1520"/>
      <c r="EU9" s="1520"/>
      <c r="EV9" s="530" t="s">
        <v>1119</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1121</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1085</v>
      </c>
      <c r="J11" s="350" t="s">
        <v>1080</v>
      </c>
      <c r="K11" s="350" t="s">
        <v>1150</v>
      </c>
      <c r="L11" s="350" t="s">
        <v>1093</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1081</v>
      </c>
      <c r="AT11" s="778"/>
      <c r="AU11" s="777" t="s">
        <v>1090</v>
      </c>
      <c r="AV11" s="778"/>
      <c r="AW11" s="777" t="s">
        <v>1094</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1159</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1161</v>
      </c>
      <c r="CR11" s="530" t="s">
        <v>1160</v>
      </c>
      <c r="CS11" s="790"/>
      <c r="CT11" s="530"/>
      <c r="CU11" s="530"/>
      <c r="CV11" s="530" t="s">
        <v>667</v>
      </c>
      <c r="CW11" s="530" t="s">
        <v>439</v>
      </c>
      <c r="CX11" s="530" t="s">
        <v>454</v>
      </c>
      <c r="CY11" s="530" t="s">
        <v>576</v>
      </c>
      <c r="CZ11" s="530" t="s">
        <v>577</v>
      </c>
      <c r="DA11" s="530" t="s">
        <v>578</v>
      </c>
      <c r="DB11" s="363" t="s">
        <v>1082</v>
      </c>
      <c r="DC11" s="363" t="s">
        <v>1083</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1145</v>
      </c>
      <c r="EP11" s="1364" t="s">
        <v>1162</v>
      </c>
      <c r="EQ11" s="1364" t="s">
        <v>1163</v>
      </c>
      <c r="ER11" s="1339">
        <v>1323</v>
      </c>
      <c r="ES11" s="1332"/>
      <c r="ET11" s="1520"/>
      <c r="EU11" s="1520"/>
      <c r="EV11" s="530" t="s">
        <v>1118</v>
      </c>
      <c r="EW11" s="836"/>
      <c r="EX11" s="836"/>
      <c r="EY11" s="836"/>
    </row>
    <row r="12" spans="1:155" s="788" customFormat="1" ht="14.25" customHeight="1">
      <c r="A12" s="823" t="s">
        <v>521</v>
      </c>
      <c r="B12" s="770" t="s">
        <v>519</v>
      </c>
      <c r="C12" s="771" t="s">
        <v>8</v>
      </c>
      <c r="D12" s="772" t="s">
        <v>25</v>
      </c>
      <c r="E12" s="770" t="s">
        <v>25</v>
      </c>
      <c r="F12" s="770">
        <v>31</v>
      </c>
      <c r="G12" s="773"/>
      <c r="H12" s="839"/>
      <c r="I12" s="351" t="s">
        <v>1174</v>
      </c>
      <c r="J12" s="350" t="s">
        <v>1176</v>
      </c>
      <c r="K12" s="350" t="s">
        <v>1178</v>
      </c>
      <c r="L12" s="350" t="s">
        <v>1180</v>
      </c>
      <c r="M12" s="350" t="s">
        <v>1172</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1097</v>
      </c>
      <c r="AT12" s="778"/>
      <c r="AU12" s="777" t="s">
        <v>1087</v>
      </c>
      <c r="AV12" s="778"/>
      <c r="AW12" s="777" t="s">
        <v>1095</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1146</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1158</v>
      </c>
      <c r="CR12" s="836"/>
      <c r="CS12" s="790"/>
      <c r="CT12" s="530"/>
      <c r="CU12" s="530"/>
      <c r="CV12" s="530" t="s">
        <v>667</v>
      </c>
      <c r="CW12" s="530" t="s">
        <v>439</v>
      </c>
      <c r="CX12" s="530" t="s">
        <v>454</v>
      </c>
      <c r="CY12" s="530" t="s">
        <v>576</v>
      </c>
      <c r="CZ12" s="530" t="s">
        <v>577</v>
      </c>
      <c r="DA12" s="530" t="s">
        <v>578</v>
      </c>
      <c r="DB12" s="831" t="s">
        <v>1098</v>
      </c>
      <c r="DC12" s="831" t="s">
        <v>1099</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1144</v>
      </c>
      <c r="EP12" s="1318" t="s">
        <v>1166</v>
      </c>
      <c r="EQ12" s="1318" t="s">
        <v>1167</v>
      </c>
      <c r="ER12" s="1337">
        <v>680</v>
      </c>
      <c r="ES12" s="1333"/>
      <c r="ET12" s="1520"/>
      <c r="EU12" s="1520"/>
      <c r="EV12" s="530" t="s">
        <v>1118</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1135</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1136</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1084</v>
      </c>
      <c r="EP16" s="1317" t="s">
        <v>1088</v>
      </c>
      <c r="EQ16" s="1317" t="s">
        <v>1096</v>
      </c>
      <c r="ER16" s="1341" t="s">
        <v>1039</v>
      </c>
      <c r="ES16" s="1332"/>
      <c r="ET16" s="1520"/>
      <c r="EU16" s="1520"/>
      <c r="EV16" s="530" t="s">
        <v>1117</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1117</v>
      </c>
      <c r="EW17" s="168"/>
      <c r="EX17" s="168"/>
      <c r="EY17" s="168"/>
    </row>
    <row r="18" spans="1:155" ht="14.25" customHeight="1">
      <c r="A18" s="7" t="s">
        <v>188</v>
      </c>
      <c r="B18" s="21" t="s">
        <v>519</v>
      </c>
      <c r="C18" s="22" t="s">
        <v>8</v>
      </c>
      <c r="D18" s="23" t="s">
        <v>114</v>
      </c>
      <c r="E18" s="21" t="s">
        <v>114</v>
      </c>
      <c r="F18" s="21" t="s">
        <v>183</v>
      </c>
      <c r="G18" s="6"/>
      <c r="H18" s="24"/>
      <c r="I18" s="25" t="s">
        <v>189</v>
      </c>
      <c r="J18" s="26" t="s">
        <v>1111</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1120</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1100</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1122</v>
      </c>
      <c r="EW19" s="168"/>
      <c r="EX19" s="168"/>
      <c r="EY19" s="168" t="s">
        <v>1185</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1168</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1123</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1124</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1131</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1125</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1154</v>
      </c>
      <c r="Q28" s="26" t="s">
        <v>1155</v>
      </c>
      <c r="R28" s="26" t="s">
        <v>1156</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1148</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1126</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Y/WE0dU+2nwGbtgJudi+jMKwZ/J5pqYMZzCUHjQ1pF6p6h0sivAwK5x988ARKRsdpypaGW0u2oVbLkmCi8tNOg==" saltValue="3uUrieAsywj4KODMMauGHA=="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BF4"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ARAGON</v>
      </c>
      <c r="F1" s="578"/>
    </row>
    <row r="2" spans="1:74" ht="16.5" customHeight="1">
      <c r="C2" s="567" t="str">
        <f>Criterios!A10 &amp;"  "&amp;Criterios!B10 &amp; "  " &amp; IF(NOT(ISBLANK(Criterios!A11)),Criterios!A11 &amp;"  "&amp;Criterios!B11,"")</f>
        <v>Provincias  ZARAGOZA  Resumenes por Partidos Judiciales  CALATAYUD</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68" t="s">
        <v>465</v>
      </c>
      <c r="B5" s="297"/>
      <c r="C5" s="1912" t="str">
        <f>"Año:  " &amp;Criterios!B$5 &amp; "          Trimestre   " &amp;Criterios!D$5 &amp; " al " &amp;Criterios!D$6</f>
        <v>Año:  2022          Trimestre   1 al 4</v>
      </c>
      <c r="D5" s="1885" t="s">
        <v>491</v>
      </c>
      <c r="E5" s="1885" t="s">
        <v>757</v>
      </c>
      <c r="F5" s="1914" t="s">
        <v>527</v>
      </c>
      <c r="G5" s="1885" t="s">
        <v>173</v>
      </c>
      <c r="H5" s="1885" t="s">
        <v>790</v>
      </c>
      <c r="I5" s="1885" t="s">
        <v>758</v>
      </c>
      <c r="J5" s="1885" t="s">
        <v>875</v>
      </c>
      <c r="K5" s="1885" t="s">
        <v>876</v>
      </c>
      <c r="L5" s="1885" t="s">
        <v>759</v>
      </c>
      <c r="M5" s="1885" t="s">
        <v>714</v>
      </c>
      <c r="N5" s="1885" t="s">
        <v>877</v>
      </c>
      <c r="O5" s="1917" t="s">
        <v>788</v>
      </c>
      <c r="P5" s="1885" t="s">
        <v>897</v>
      </c>
      <c r="Q5" s="1885" t="s">
        <v>891</v>
      </c>
      <c r="R5" s="1885" t="s">
        <v>229</v>
      </c>
      <c r="S5" s="1920" t="s">
        <v>887</v>
      </c>
      <c r="T5" s="1920" t="s">
        <v>890</v>
      </c>
      <c r="U5" s="1885" t="s">
        <v>791</v>
      </c>
      <c r="V5" s="1920" t="s">
        <v>760</v>
      </c>
      <c r="W5" s="1885" t="s">
        <v>1043</v>
      </c>
      <c r="X5" s="1885" t="s">
        <v>1044</v>
      </c>
      <c r="Y5" s="1888" t="s">
        <v>878</v>
      </c>
      <c r="Z5" s="1903" t="s">
        <v>816</v>
      </c>
      <c r="AA5" s="1906" t="s">
        <v>761</v>
      </c>
      <c r="AB5" s="1903" t="s">
        <v>762</v>
      </c>
      <c r="AC5" s="1903" t="s">
        <v>763</v>
      </c>
      <c r="AD5" s="1882" t="s">
        <v>879</v>
      </c>
      <c r="AE5" s="1882" t="s">
        <v>1071</v>
      </c>
      <c r="AF5" s="1885" t="s">
        <v>892</v>
      </c>
      <c r="AG5" s="1885" t="s">
        <v>715</v>
      </c>
      <c r="AH5" s="1885" t="s">
        <v>880</v>
      </c>
      <c r="AI5" s="1885" t="s">
        <v>240</v>
      </c>
      <c r="AJ5" s="1885" t="s">
        <v>947</v>
      </c>
      <c r="AK5" s="1885" t="s">
        <v>716</v>
      </c>
      <c r="AL5" s="1885" t="s">
        <v>717</v>
      </c>
      <c r="AM5" s="1885" t="s">
        <v>898</v>
      </c>
      <c r="AN5" s="1885" t="s">
        <v>718</v>
      </c>
      <c r="AO5" s="1885" t="s">
        <v>719</v>
      </c>
      <c r="AP5" s="1885" t="s">
        <v>720</v>
      </c>
      <c r="AQ5" s="1885" t="s">
        <v>721</v>
      </c>
      <c r="AR5" s="1885" t="s">
        <v>881</v>
      </c>
      <c r="AS5" s="1885" t="s">
        <v>243</v>
      </c>
      <c r="AT5" s="1891" t="s">
        <v>241</v>
      </c>
      <c r="AU5" s="1885" t="s">
        <v>893</v>
      </c>
      <c r="AV5" s="1894" t="s">
        <v>894</v>
      </c>
      <c r="AW5" s="1897" t="s">
        <v>723</v>
      </c>
      <c r="AX5" s="1885" t="s">
        <v>724</v>
      </c>
      <c r="AY5" s="1885" t="s">
        <v>814</v>
      </c>
      <c r="AZ5" s="1900" t="s">
        <v>815</v>
      </c>
      <c r="BA5" s="1885" t="s">
        <v>765</v>
      </c>
      <c r="BB5" s="1894" t="s">
        <v>766</v>
      </c>
      <c r="BC5" s="1897" t="s">
        <v>244</v>
      </c>
      <c r="BD5" s="1885" t="s">
        <v>767</v>
      </c>
      <c r="BE5" s="1885" t="s">
        <v>322</v>
      </c>
      <c r="BF5" s="1885" t="s">
        <v>323</v>
      </c>
      <c r="BG5" s="1885" t="s">
        <v>324</v>
      </c>
      <c r="BH5" s="1885" t="s">
        <v>768</v>
      </c>
      <c r="BI5" s="1885" t="s">
        <v>325</v>
      </c>
      <c r="BJ5" s="1885" t="s">
        <v>769</v>
      </c>
      <c r="BK5" s="1885" t="s">
        <v>784</v>
      </c>
      <c r="BL5" s="1885" t="s">
        <v>770</v>
      </c>
      <c r="BM5" s="1885" t="s">
        <v>771</v>
      </c>
      <c r="BN5" s="1885" t="s">
        <v>799</v>
      </c>
      <c r="BO5" s="1885" t="s">
        <v>792</v>
      </c>
      <c r="BP5" s="1885" t="s">
        <v>1128</v>
      </c>
      <c r="BQ5" s="1885" t="s">
        <v>1132</v>
      </c>
      <c r="BR5" s="1885" t="s">
        <v>1134</v>
      </c>
      <c r="BS5" s="1885" t="s">
        <v>793</v>
      </c>
      <c r="BT5" s="1885" t="s">
        <v>772</v>
      </c>
      <c r="BU5" s="1885" t="s">
        <v>722</v>
      </c>
      <c r="BV5" s="1909" t="s">
        <v>1045</v>
      </c>
    </row>
    <row r="6" spans="1:74" ht="21.75" customHeight="1">
      <c r="A6" s="1669"/>
      <c r="B6" s="298"/>
      <c r="C6" s="1913"/>
      <c r="D6" s="1886"/>
      <c r="E6" s="1886"/>
      <c r="F6" s="1915"/>
      <c r="G6" s="1886"/>
      <c r="H6" s="1886"/>
      <c r="I6" s="1886"/>
      <c r="J6" s="1886"/>
      <c r="K6" s="1886"/>
      <c r="L6" s="1886"/>
      <c r="M6" s="1886"/>
      <c r="N6" s="1886"/>
      <c r="O6" s="1918"/>
      <c r="P6" s="1886"/>
      <c r="Q6" s="1886"/>
      <c r="R6" s="1886"/>
      <c r="S6" s="1921"/>
      <c r="T6" s="1921"/>
      <c r="U6" s="1886"/>
      <c r="V6" s="1921"/>
      <c r="W6" s="1886"/>
      <c r="X6" s="1886"/>
      <c r="Y6" s="1889"/>
      <c r="Z6" s="1904"/>
      <c r="AA6" s="1907"/>
      <c r="AB6" s="1904"/>
      <c r="AC6" s="1904"/>
      <c r="AD6" s="1883"/>
      <c r="AE6" s="1883"/>
      <c r="AF6" s="1886"/>
      <c r="AG6" s="1886"/>
      <c r="AH6" s="1886"/>
      <c r="AI6" s="1886"/>
      <c r="AJ6" s="1886"/>
      <c r="AK6" s="1886"/>
      <c r="AL6" s="1886"/>
      <c r="AM6" s="1886"/>
      <c r="AN6" s="1886"/>
      <c r="AO6" s="1886"/>
      <c r="AP6" s="1886"/>
      <c r="AQ6" s="1886"/>
      <c r="AR6" s="1886"/>
      <c r="AS6" s="1886"/>
      <c r="AT6" s="1892"/>
      <c r="AU6" s="1886"/>
      <c r="AV6" s="1895"/>
      <c r="AW6" s="1898"/>
      <c r="AX6" s="1886"/>
      <c r="AY6" s="1886"/>
      <c r="AZ6" s="1901"/>
      <c r="BA6" s="1886"/>
      <c r="BB6" s="1895"/>
      <c r="BC6" s="1898"/>
      <c r="BD6" s="1886"/>
      <c r="BE6" s="1886"/>
      <c r="BF6" s="1886"/>
      <c r="BG6" s="1886"/>
      <c r="BH6" s="1886"/>
      <c r="BI6" s="1886"/>
      <c r="BJ6" s="1886"/>
      <c r="BK6" s="1886"/>
      <c r="BL6" s="1886"/>
      <c r="BM6" s="1886"/>
      <c r="BN6" s="1886"/>
      <c r="BO6" s="1886"/>
      <c r="BP6" s="1886"/>
      <c r="BQ6" s="1886"/>
      <c r="BR6" s="1886"/>
      <c r="BS6" s="1886"/>
      <c r="BT6" s="1886"/>
      <c r="BU6" s="1886"/>
      <c r="BV6" s="1910"/>
    </row>
    <row r="7" spans="1:74" ht="38.25" customHeight="1" thickBot="1">
      <c r="A7" s="1670"/>
      <c r="B7" s="299"/>
      <c r="C7" s="288" t="str">
        <f>Datos!A7</f>
        <v>COMPETENCIAS</v>
      </c>
      <c r="D7" s="1887"/>
      <c r="E7" s="1887"/>
      <c r="F7" s="1916"/>
      <c r="G7" s="1887"/>
      <c r="H7" s="1887"/>
      <c r="I7" s="1887"/>
      <c r="J7" s="1887"/>
      <c r="K7" s="1887"/>
      <c r="L7" s="1887"/>
      <c r="M7" s="1887"/>
      <c r="N7" s="1887"/>
      <c r="O7" s="1919"/>
      <c r="P7" s="1887"/>
      <c r="Q7" s="1887"/>
      <c r="R7" s="1887"/>
      <c r="S7" s="1922"/>
      <c r="T7" s="1922"/>
      <c r="U7" s="1887"/>
      <c r="V7" s="1922"/>
      <c r="W7" s="1887"/>
      <c r="X7" s="1887"/>
      <c r="Y7" s="1890"/>
      <c r="Z7" s="1905"/>
      <c r="AA7" s="1908"/>
      <c r="AB7" s="1905"/>
      <c r="AC7" s="1905"/>
      <c r="AD7" s="1884"/>
      <c r="AE7" s="1884"/>
      <c r="AF7" s="1887"/>
      <c r="AG7" s="1887"/>
      <c r="AH7" s="1887"/>
      <c r="AI7" s="1887"/>
      <c r="AJ7" s="1887"/>
      <c r="AK7" s="1887"/>
      <c r="AL7" s="1887"/>
      <c r="AM7" s="1887"/>
      <c r="AN7" s="1887"/>
      <c r="AO7" s="1887"/>
      <c r="AP7" s="1887"/>
      <c r="AQ7" s="1887"/>
      <c r="AR7" s="1887"/>
      <c r="AS7" s="1887"/>
      <c r="AT7" s="1893"/>
      <c r="AU7" s="1887"/>
      <c r="AV7" s="1896"/>
      <c r="AW7" s="1899"/>
      <c r="AX7" s="1887"/>
      <c r="AY7" s="1887"/>
      <c r="AZ7" s="1902"/>
      <c r="BA7" s="1887"/>
      <c r="BB7" s="1896"/>
      <c r="BC7" s="1899"/>
      <c r="BD7" s="1887"/>
      <c r="BE7" s="1887"/>
      <c r="BF7" s="1887"/>
      <c r="BG7" s="1887"/>
      <c r="BH7" s="1887"/>
      <c r="BI7" s="1887"/>
      <c r="BJ7" s="1887"/>
      <c r="BK7" s="1887"/>
      <c r="BL7" s="1887"/>
      <c r="BM7" s="1887"/>
      <c r="BN7" s="1887"/>
      <c r="BO7" s="1887"/>
      <c r="BP7" s="1887"/>
      <c r="BQ7" s="1887"/>
      <c r="BR7" s="1887"/>
      <c r="BS7" s="1887"/>
      <c r="BT7" s="1887"/>
      <c r="BU7" s="1887"/>
      <c r="BV7" s="1911"/>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1200</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3</v>
      </c>
      <c r="G10" s="543">
        <f>IF(ISNUMBER(Datos!I10),Datos!I10," - ")</f>
        <v>3</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5</v>
      </c>
      <c r="AC10" s="547">
        <f>IF(ISNUMBER(Datos!Q10),Datos!Q10," - ")</f>
        <v>0</v>
      </c>
      <c r="AD10" s="549"/>
      <c r="AE10" s="563"/>
      <c r="AF10" s="551">
        <f>IF(ISNUMBER(Datos!L10),Datos!L10,"-")</f>
        <v>3</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0</v>
      </c>
      <c r="BE10" s="693" t="str">
        <f>IF(ISNUMBER(Datos!BW10),Datos!BW10," - ")</f>
        <v xml:space="preserve"> - </v>
      </c>
      <c r="BF10" s="762" t="str">
        <f>IF(ISNUMBER(Datos!BX10),Datos!BX10," - ")</f>
        <v xml:space="preserve"> - </v>
      </c>
      <c r="BG10" s="763">
        <f>IF(ISNUMBER(Datos!K10/Datos!J10),Datos!K10/Datos!J10," - ")</f>
        <v>1</v>
      </c>
      <c r="BH10" s="764">
        <f>IF(ISNUMBER(((Datos!L10/Datos!K10)*11)/factor_trimestre),((Datos!L10/Datos!K10)*11)/factor_trimestre," - ")</f>
        <v>6.6</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1600</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1323</v>
      </c>
    </row>
    <row r="12" spans="1:74" s="578" customFormat="1" ht="14.25">
      <c r="A12" s="745">
        <f>Datos!AO12</f>
        <v>2</v>
      </c>
      <c r="B12" s="746" t="s">
        <v>321</v>
      </c>
      <c r="C12" s="747" t="str">
        <f>Datos!A12</f>
        <v xml:space="preserve">Jdos. 1ª Instª. e Instr.                        </v>
      </c>
      <c r="D12" s="601"/>
      <c r="E12" s="764">
        <f>IF(ISNUMBER(Datos!AQ12),Datos!AQ12," - ")</f>
        <v>2</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106</v>
      </c>
      <c r="O12" s="549"/>
      <c r="P12" s="549"/>
      <c r="Q12" s="547">
        <f>IF(ISNUMBER(Datos!P12),Datos!P12,0)</f>
        <v>561</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478</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127</v>
      </c>
      <c r="AI12" s="549" t="str">
        <f>IF(ISNUMBER(Datos!CD12),Datos!CD12,"-")</f>
        <v>-</v>
      </c>
      <c r="AJ12" s="549" t="str">
        <f>IF(ISNUMBER(Datos!EN12),Datos!EN12," - ")</f>
        <v xml:space="preserve"> - </v>
      </c>
      <c r="AK12" s="549"/>
      <c r="AL12" s="550"/>
      <c r="AM12" s="766">
        <f>IF(ISNUMBER(Datos!R12),Datos!R12," - ")</f>
        <v>1503</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268</v>
      </c>
      <c r="BD12" s="693">
        <f>IF(ISNUMBER(Datos!N12),Datos!N12," - ")</f>
        <v>425</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1.0206782464846982</v>
      </c>
      <c r="BH12" s="764">
        <f>IF(ISNUMBER(((IF(J_V="SI",Datos!L12/Datos!K12,(Datos!L12+Datos!AB12)/(Datos!K12+Datos!AA12)))*11)/factor_trimestre),((IF(J_V="SI",Datos!L12/Datos!K12,(Datos!L12+Datos!AB12)/(Datos!K12+Datos!AA12)))*11)/factor_trimestre," - ")</f>
        <v>8.2366288492706659</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5.8450704225352111E-2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680</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875</v>
      </c>
    </row>
    <row r="14" spans="1:74" ht="15.75" thickTop="1" thickBot="1">
      <c r="A14" s="191"/>
      <c r="B14" s="191"/>
      <c r="C14" s="1160" t="str">
        <f>Datos!A14</f>
        <v>TOTAL</v>
      </c>
      <c r="D14" s="1196"/>
      <c r="E14" s="1554">
        <f t="shared" ref="E14:Z14" si="1">SUBTOTAL(9,E8:E13)</f>
        <v>2</v>
      </c>
      <c r="F14" s="1197">
        <f t="shared" si="1"/>
        <v>3</v>
      </c>
      <c r="G14" s="1197">
        <f t="shared" si="1"/>
        <v>3</v>
      </c>
      <c r="H14" s="1198">
        <f t="shared" si="1"/>
        <v>0</v>
      </c>
      <c r="I14" s="1197">
        <f t="shared" si="1"/>
        <v>0</v>
      </c>
      <c r="J14" s="1164">
        <f t="shared" si="1"/>
        <v>0</v>
      </c>
      <c r="K14" s="1164">
        <f t="shared" si="1"/>
        <v>0</v>
      </c>
      <c r="L14" s="1198">
        <f t="shared" si="1"/>
        <v>0</v>
      </c>
      <c r="M14" s="1198">
        <f t="shared" si="1"/>
        <v>0</v>
      </c>
      <c r="N14" s="1198">
        <f t="shared" si="1"/>
        <v>106</v>
      </c>
      <c r="O14" s="1199">
        <f t="shared" si="1"/>
        <v>0</v>
      </c>
      <c r="P14" s="1199">
        <f t="shared" si="1"/>
        <v>0</v>
      </c>
      <c r="Q14" s="1198">
        <f t="shared" si="1"/>
        <v>561</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5</v>
      </c>
      <c r="AC14" s="1198">
        <f t="shared" si="2"/>
        <v>478</v>
      </c>
      <c r="AD14" s="1198">
        <f t="shared" si="2"/>
        <v>0</v>
      </c>
      <c r="AE14" s="1198">
        <f t="shared" si="2"/>
        <v>0</v>
      </c>
      <c r="AF14" s="1198">
        <f t="shared" si="2"/>
        <v>3</v>
      </c>
      <c r="AG14" s="1198">
        <f t="shared" si="2"/>
        <v>0</v>
      </c>
      <c r="AH14" s="1198">
        <f t="shared" si="2"/>
        <v>127</v>
      </c>
      <c r="AI14" s="1198">
        <f t="shared" si="2"/>
        <v>0</v>
      </c>
      <c r="AJ14" s="1198">
        <f t="shared" si="2"/>
        <v>0</v>
      </c>
      <c r="AK14" s="1198">
        <f t="shared" si="2"/>
        <v>0</v>
      </c>
      <c r="AL14" s="1198">
        <f t="shared" si="2"/>
        <v>0</v>
      </c>
      <c r="AM14" s="1198">
        <f t="shared" si="2"/>
        <v>1503</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268</v>
      </c>
      <c r="BD14" s="1198">
        <f t="shared" si="2"/>
        <v>425</v>
      </c>
      <c r="BE14" s="1198">
        <f t="shared" si="2"/>
        <v>0</v>
      </c>
      <c r="BF14" s="1198">
        <f t="shared" si="2"/>
        <v>0</v>
      </c>
      <c r="BG14" s="1198">
        <f>IF(ISNUMBER(Datos!K14/Datos!J14),Datos!K14/Datos!J14," - ")</f>
        <v>1.0514440433212997</v>
      </c>
      <c r="BH14" s="1202">
        <f>IF(ISNUMBER(((Datos!L14/Datos!K14)*11)/factor_trimestre),((Datos!L14/Datos!K14)*11)/factor_trimestre," - ")</f>
        <v>7.5536480686695278</v>
      </c>
      <c r="BI14" s="1198">
        <f>IF(ISNUMBER('Resol  Asuntos'!D14/NºAsuntos!G14),'Resol  Asuntos'!D14/NºAsuntos!G14," - ")</f>
        <v>0.21630347054075869</v>
      </c>
      <c r="BJ14" s="1198" t="str">
        <f>IF(ISNUMBER(Datos!CI14/Datos!CJ14),Datos!CI14/Datos!CJ14," - ")</f>
        <v xml:space="preserve"> - </v>
      </c>
      <c r="BK14" s="1198">
        <f>SUBTOTAL(9,BK8:BK13)</f>
        <v>0</v>
      </c>
      <c r="BL14" s="1198">
        <f>IF(ISNUMBER((I14-AB14+L14)/(F14)),(I14-AB14+L14)/(F14)," - ")</f>
        <v>-1.6666666666666667</v>
      </c>
      <c r="BM14" s="1203">
        <f>SUBTOTAL(9,BM9:BM13)</f>
        <v>5.8450704225352111E-2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5678</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3300</v>
      </c>
    </row>
    <row r="17" spans="1:74" s="744" customFormat="1" ht="14.25">
      <c r="A17" s="736">
        <f>Datos!AO17</f>
        <v>2</v>
      </c>
      <c r="B17" s="737" t="s">
        <v>511</v>
      </c>
      <c r="C17" s="749" t="str">
        <f>Datos!A17</f>
        <v xml:space="preserve">Jdos. 1ª Instª. e Instr.                        </v>
      </c>
      <c r="D17" s="750"/>
      <c r="E17" s="1555">
        <f>IF(ISNUMBER(Datos!AQ17),Datos!AQ17," - ")</f>
        <v>2</v>
      </c>
      <c r="F17" s="740">
        <f>IF(ISNUMBER(AF17+AB17-Datos!J17-L17),AF17+AB17-Datos!J17-L17," - ")</f>
        <v>746</v>
      </c>
      <c r="G17" s="743">
        <f>IF(ISNUMBER(IF(D_I="SI",Datos!I17,Datos!I17+Datos!AC17)),IF(D_I="SI",Datos!I17,Datos!I17+Datos!AC17)," - ")</f>
        <v>734</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27</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1649</v>
      </c>
      <c r="AC17" s="240">
        <f>IF(ISNUMBER(Datos!Q17),Datos!Q17," - ")</f>
        <v>40</v>
      </c>
      <c r="AD17" s="374"/>
      <c r="AE17" s="562"/>
      <c r="AF17" s="741">
        <f>IF(ISNUMBER(IF(D_I="SI",Datos!L17,Datos!L17+Datos!AF17)),IF(D_I="SI",Datos!L17,Datos!L17+Datos!AF17)," - ")</f>
        <v>550</v>
      </c>
      <c r="AG17" s="374"/>
      <c r="AH17" s="374"/>
      <c r="AI17" s="374"/>
      <c r="AJ17" s="549"/>
      <c r="AK17" s="374"/>
      <c r="AL17" s="545"/>
      <c r="AM17" s="375">
        <f>IF(ISNUMBER(Datos!R17),Datos!R17," - ")</f>
        <v>62</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158</v>
      </c>
      <c r="BD17" s="243">
        <f>IF(ISNUMBER(Datos!N17),Datos!N17," - ")</f>
        <v>1193</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1.1348933241569168</v>
      </c>
      <c r="BH17" s="764">
        <f>IF(ISNUMBER(((IF(D_I="SI",Datos!L17/Datos!K17,(Datos!L17+Datos!AF17)/(Datos!K17+Datos!AE17)))*11)/factor_trimestre),((IF(D_I="SI",Datos!L17/Datos!K17,(Datos!L17+Datos!AF17)/(Datos!K17+Datos!AE17)))*11)/factor_trimestre," - ")</f>
        <v>3.6688902365069738</v>
      </c>
      <c r="BI17" s="266">
        <f>IF(ISNUMBER('Resol  Asuntos'!D17/NºAsuntos!G17),'Resol  Asuntos'!D17/NºAsuntos!G17," - ")</f>
        <v>9.5815645845967259E-2</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1000</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40</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1</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79</v>
      </c>
      <c r="AC18" s="547">
        <f>IF(ISNUMBER(Datos!Q18),Datos!Q18," - ")</f>
        <v>0</v>
      </c>
      <c r="AD18" s="549"/>
      <c r="AE18" s="562"/>
      <c r="AF18" s="551">
        <f>IF(ISNUMBER(Datos!L18),Datos!L18,"-")</f>
        <v>62</v>
      </c>
      <c r="AG18" s="549"/>
      <c r="AH18" s="549"/>
      <c r="AI18" s="549"/>
      <c r="AJ18" s="549"/>
      <c r="AK18" s="549"/>
      <c r="AL18" s="550"/>
      <c r="AM18" s="766">
        <f>IF(ISNUMBER(Datos!R18),Datos!R18," - ")</f>
        <v>1</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10</v>
      </c>
      <c r="BD18" s="693">
        <f>IF(ISNUMBER(Datos!N18),Datos!N18," - ")</f>
        <v>76</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0.78217821782178221</v>
      </c>
      <c r="BH18" s="764">
        <f>IF(ISNUMBER(((IF(D_I="SI",Datos!L18/Datos!K18,(Datos!L18+Datos!AF18)/(Datos!K18+Datos!AE18)))*11)/factor_trimestre),((IF(D_I="SI",Datos!L18/Datos!K18,(Datos!L18+Datos!AF18)/(Datos!K18+Datos!AE18)))*11)/factor_trimestre," - ")</f>
        <v>8.6329113924050631</v>
      </c>
      <c r="BI18" s="763">
        <f>IF(ISNUMBER('Resol  Asuntos'!D18/NºAsuntos!G18),'Resol  Asuntos'!D18/NºAsuntos!G18," - ")</f>
        <v>0.12658227848101267</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1600</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875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5240</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400</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2400</v>
      </c>
    </row>
    <row r="23" spans="1:74" ht="15.75" thickTop="1" thickBot="1">
      <c r="A23" s="191"/>
      <c r="B23" s="191"/>
      <c r="C23" s="1160" t="str">
        <f>Datos!A23</f>
        <v>TOTAL</v>
      </c>
      <c r="D23" s="1196"/>
      <c r="E23" s="1554">
        <f>SUBTOTAL(9,E16:E22)</f>
        <v>2</v>
      </c>
      <c r="F23" s="1197">
        <f>SUBTOTAL(9,F16:F22)</f>
        <v>746</v>
      </c>
      <c r="G23" s="1197">
        <f>SUBTOTAL(9,G16:G22)</f>
        <v>774</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28</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1728</v>
      </c>
      <c r="AC23" s="1198">
        <f t="shared" si="5"/>
        <v>40</v>
      </c>
      <c r="AD23" s="1198">
        <f t="shared" si="5"/>
        <v>0</v>
      </c>
      <c r="AE23" s="1198">
        <f t="shared" si="5"/>
        <v>0</v>
      </c>
      <c r="AF23" s="1198">
        <f t="shared" si="5"/>
        <v>612</v>
      </c>
      <c r="AG23" s="1198">
        <f t="shared" si="5"/>
        <v>0</v>
      </c>
      <c r="AH23" s="1198">
        <f t="shared" si="5"/>
        <v>0</v>
      </c>
      <c r="AI23" s="1198">
        <f t="shared" si="5"/>
        <v>0</v>
      </c>
      <c r="AJ23" s="1198">
        <f t="shared" si="5"/>
        <v>0</v>
      </c>
      <c r="AK23" s="1198">
        <f t="shared" si="5"/>
        <v>0</v>
      </c>
      <c r="AL23" s="1198">
        <f t="shared" si="5"/>
        <v>0</v>
      </c>
      <c r="AM23" s="1198">
        <f t="shared" si="5"/>
        <v>63</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168</v>
      </c>
      <c r="BD23" s="1198">
        <f t="shared" si="5"/>
        <v>1269</v>
      </c>
      <c r="BE23" s="1198">
        <f t="shared" si="5"/>
        <v>0</v>
      </c>
      <c r="BF23" s="1198">
        <f t="shared" si="5"/>
        <v>0</v>
      </c>
      <c r="BG23" s="1198">
        <f>IF(ISNUMBER(Datos!K23/Datos!J23),Datos!K23/Datos!J23," - ")</f>
        <v>1.111969111969112</v>
      </c>
      <c r="BH23" s="1202">
        <f>IF(ISNUMBER(((Datos!L23/Datos!K23)*11)/factor_trimestre),((Datos!L23/Datos!K23)*11)/factor_trimestre," - ")</f>
        <v>3.8958333333333335</v>
      </c>
      <c r="BI23" s="1198">
        <f>SUBTOTAL(9,BI16:BI22)</f>
        <v>0.22239792432697991</v>
      </c>
      <c r="BJ23" s="1198">
        <f>SUBTOTAL(9,BJ16:BJ22)</f>
        <v>0</v>
      </c>
      <c r="BK23" s="1198">
        <f>SUBTOTAL(9,BK16:BK22)</f>
        <v>0</v>
      </c>
      <c r="BL23" s="1198">
        <f>IF(ISNUMBER((I23-AB23+L23)/(F23)),(I23-AB23+L23)/(F23)," - ")</f>
        <v>-2.316353887399464</v>
      </c>
      <c r="BM23" s="1205">
        <f>IF(ISNUMBER((Datos!P23-Datos!Q23)/(Datos!R23-Datos!P23+Datos!Q23)),(Datos!P23-Datos!Q23)/(Datos!R23-Datos!P23+Datos!Q23)," - ")</f>
        <v>-0.16</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14815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570</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570</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800</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3500</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4870</v>
      </c>
    </row>
    <row r="31" spans="1:74" ht="18.75" customHeight="1" thickTop="1" thickBot="1">
      <c r="A31" s="185"/>
      <c r="B31" s="185"/>
      <c r="C31" s="1115" t="str">
        <f>Datos!A31</f>
        <v>TOTAL JURISDICCIONES</v>
      </c>
      <c r="D31" s="1115"/>
      <c r="E31" s="1556">
        <f t="shared" ref="E31:R31" si="18">SUBTOTAL(9,E9:E30)</f>
        <v>4</v>
      </c>
      <c r="F31" s="1117">
        <f t="shared" si="18"/>
        <v>749</v>
      </c>
      <c r="G31" s="1117">
        <f t="shared" si="18"/>
        <v>777</v>
      </c>
      <c r="H31" s="1119">
        <f t="shared" si="18"/>
        <v>0</v>
      </c>
      <c r="I31" s="1117">
        <f t="shared" si="18"/>
        <v>0</v>
      </c>
      <c r="J31" s="1119">
        <f t="shared" si="18"/>
        <v>0</v>
      </c>
      <c r="K31" s="1119">
        <f t="shared" si="18"/>
        <v>0</v>
      </c>
      <c r="L31" s="1180">
        <f t="shared" si="18"/>
        <v>0</v>
      </c>
      <c r="M31" s="1180">
        <f t="shared" si="18"/>
        <v>0</v>
      </c>
      <c r="N31" s="1180">
        <f t="shared" si="18"/>
        <v>106</v>
      </c>
      <c r="O31" s="1180">
        <f t="shared" si="18"/>
        <v>0</v>
      </c>
      <c r="P31" s="1180">
        <f t="shared" si="18"/>
        <v>0</v>
      </c>
      <c r="Q31" s="1119">
        <f t="shared" si="18"/>
        <v>589</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1733</v>
      </c>
      <c r="AC31" s="1118">
        <f t="shared" si="19"/>
        <v>518</v>
      </c>
      <c r="AD31" s="1118">
        <f t="shared" si="19"/>
        <v>0</v>
      </c>
      <c r="AE31" s="1118">
        <f t="shared" si="19"/>
        <v>0</v>
      </c>
      <c r="AF31" s="1125">
        <f t="shared" si="19"/>
        <v>615</v>
      </c>
      <c r="AG31" s="1125">
        <f t="shared" si="19"/>
        <v>0</v>
      </c>
      <c r="AH31" s="1125">
        <f t="shared" si="19"/>
        <v>127</v>
      </c>
      <c r="AI31" s="1125">
        <f t="shared" si="19"/>
        <v>0</v>
      </c>
      <c r="AJ31" s="1118">
        <f t="shared" si="19"/>
        <v>0</v>
      </c>
      <c r="AK31" s="1125">
        <f t="shared" si="19"/>
        <v>0</v>
      </c>
      <c r="AL31" s="1125">
        <f t="shared" si="19"/>
        <v>0</v>
      </c>
      <c r="AM31" s="1125">
        <f t="shared" si="19"/>
        <v>1566</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436</v>
      </c>
      <c r="BD31" s="1117">
        <f t="shared" si="19"/>
        <v>1694</v>
      </c>
      <c r="BE31" s="1117">
        <f t="shared" si="19"/>
        <v>0</v>
      </c>
      <c r="BF31" s="1127">
        <f t="shared" si="19"/>
        <v>0</v>
      </c>
      <c r="BG31" s="1223">
        <f>IF(ISNUMBER(Datos!K31/Datos!J31),Datos!K31/Datos!J31," - ")</f>
        <v>1.0867768595041323</v>
      </c>
      <c r="BH31" s="1223">
        <f>IF(ISNUMBER(((Datos!L31/Datos!K31)*11)/factor_trimestre),((Datos!L31/Datos!K31)*11)/factor_trimestre," - ")</f>
        <v>5.3688212927756656</v>
      </c>
      <c r="BI31" s="1103">
        <f>IF(ISNUMBER(Datos!J31/Datos!I31),Datos!J31/Datos!I31," - ")</f>
        <v>1.6321275291232373</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-2.313751668891856</v>
      </c>
      <c r="BM31" s="1188">
        <f>IF(ISNUMBER((Datos!P31-Datos!Q31+R31)/(Datos!R31-Datos!P31+Datos!Q31-R31)),(Datos!P31-Datos!Q31+R31)/(Datos!R31-Datos!P31+Datos!Q31-R31)," - ")</f>
        <v>4.749163879598662E-2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25363</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222</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0.837707816583391</v>
      </c>
      <c r="F33" s="673">
        <f>IF(ISNUMBER(STDEV(F8:F30)),STDEV(F8:F30),"-")</f>
        <v>384.4604877834218</v>
      </c>
      <c r="G33" s="674">
        <f>IF(ISNUMBER(STDEV(G8:G30)),STDEV(G8:G30),"-")</f>
        <v>363.88230698033857</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816.0178569474707</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120.64588087219792</v>
      </c>
      <c r="BD33" s="673"/>
      <c r="BE33" s="673">
        <f>IF(ISNUMBER(STDEV(BE8:BE30)),STDEV(BE8:BE30),"-")</f>
        <v>0</v>
      </c>
      <c r="BF33" s="678">
        <f>IF(ISNUMBER(STDEV(BF8:BF30)),STDEV(BF8:BF30),"-")</f>
        <v>0</v>
      </c>
      <c r="BG33" s="1052">
        <f>IF(ISNUMBER(STDEV(BG8:BG30)),STDEV(BG8:BG30),"-")</f>
        <v>0.12613329642458002</v>
      </c>
      <c r="BH33" s="1058">
        <f>IF(ISNUMBER(STDEV(BH8:BH30)),STDEV(BH8:BH30),"-")</f>
        <v>2.1658221889876401</v>
      </c>
      <c r="BI33" s="273">
        <f>IF(ISNUMBER(STDEV(BI8:BI30)),STDEV(BI8:BI30),"-")</f>
        <v>6.3740781993216686E-2</v>
      </c>
      <c r="BJ33" s="244" t="str">
        <f>IF(ISNUMBER(BL33/BM33),BL33/BM33," - ")</f>
        <v xml:space="preserve"> - </v>
      </c>
      <c r="BK33" s="709"/>
      <c r="BL33" s="681">
        <f>IF(ISNUMBER(STDEV(BL8:BL30)),STDEV(BL8:BL30),"-")</f>
        <v>0.45939823943040303</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3383.4875757771883</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14 abr. 2023</v>
      </c>
    </row>
    <row r="44" spans="1:74">
      <c r="C44" s="645"/>
      <c r="D44" s="646"/>
    </row>
  </sheetData>
  <sheetProtection algorithmName="SHA-512" hashValue="QkLwDB9gsTqDF8Chf6HMmzTOgAe3JrBjPUdwOyBS9IjRvhSYwuS2iD4wyOsAaS/VDgPoz9PSRUtbspOO77QzFw==" saltValue="SC71AruqufRXvZkfm+fzu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ARAGON</v>
      </c>
    </row>
    <row r="2" spans="1:73" ht="16.5" customHeight="1">
      <c r="C2" s="647" t="str">
        <f>Criterios!A10 &amp;"  "&amp;Criterios!B10 &amp; "  " &amp; IF(NOT(ISBLANK(Criterios!A11)),Criterios!A11 &amp;"  "&amp;Criterios!B11,"")</f>
        <v>Provincias  ZARAGOZA  Resumenes por Partidos Judiciales  CALATAYUD</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68" t="s">
        <v>465</v>
      </c>
      <c r="B5" s="297"/>
      <c r="C5" s="1923" t="str">
        <f>"Año:  " &amp;Criterios!B$5 &amp; "          Trimestre   " &amp;Criterios!D$5 &amp; " al " &amp;Criterios!D$6</f>
        <v>Año:  2022          Trimestre   1 al 4</v>
      </c>
      <c r="D5" s="1925" t="s">
        <v>491</v>
      </c>
      <c r="E5" s="1885" t="s">
        <v>757</v>
      </c>
      <c r="F5" s="1914" t="s">
        <v>527</v>
      </c>
      <c r="G5" s="1885" t="s">
        <v>173</v>
      </c>
      <c r="H5" s="1885" t="s">
        <v>790</v>
      </c>
      <c r="I5" s="1885" t="s">
        <v>758</v>
      </c>
      <c r="J5" s="1885" t="s">
        <v>895</v>
      </c>
      <c r="K5" s="1885" t="s">
        <v>759</v>
      </c>
      <c r="L5" s="1885" t="s">
        <v>788</v>
      </c>
      <c r="M5" s="1885" t="s">
        <v>897</v>
      </c>
      <c r="N5" s="1885" t="s">
        <v>785</v>
      </c>
      <c r="O5" s="1885" t="s">
        <v>819</v>
      </c>
      <c r="P5" s="1920" t="s">
        <v>887</v>
      </c>
      <c r="Q5" s="1920" t="s">
        <v>890</v>
      </c>
      <c r="R5" s="1885" t="s">
        <v>794</v>
      </c>
      <c r="S5" s="1885" t="s">
        <v>760</v>
      </c>
      <c r="T5" s="1885" t="s">
        <v>1043</v>
      </c>
      <c r="U5" s="1885" t="s">
        <v>1044</v>
      </c>
      <c r="V5" s="1888" t="s">
        <v>878</v>
      </c>
      <c r="W5" s="1903" t="s">
        <v>774</v>
      </c>
      <c r="X5" s="1906" t="s">
        <v>775</v>
      </c>
      <c r="Y5" s="1882" t="s">
        <v>795</v>
      </c>
      <c r="Z5" s="1882" t="s">
        <v>820</v>
      </c>
      <c r="AA5" s="1885" t="s">
        <v>764</v>
      </c>
      <c r="AB5" s="1885" t="s">
        <v>776</v>
      </c>
      <c r="AC5" s="1885" t="s">
        <v>777</v>
      </c>
      <c r="AD5" s="1885" t="s">
        <v>717</v>
      </c>
      <c r="AE5" s="1885" t="s">
        <v>898</v>
      </c>
      <c r="AF5" s="1885" t="s">
        <v>243</v>
      </c>
      <c r="AG5" s="1885" t="s">
        <v>778</v>
      </c>
      <c r="AH5" s="1885" t="s">
        <v>765</v>
      </c>
      <c r="AI5" s="1885" t="s">
        <v>766</v>
      </c>
      <c r="AJ5" s="1885" t="s">
        <v>779</v>
      </c>
      <c r="AK5" s="1885" t="s">
        <v>780</v>
      </c>
      <c r="AL5" s="1885" t="s">
        <v>781</v>
      </c>
      <c r="AM5" s="1900" t="s">
        <v>782</v>
      </c>
      <c r="AN5" s="1885" t="s">
        <v>324</v>
      </c>
      <c r="AO5" s="1885" t="s">
        <v>768</v>
      </c>
      <c r="AP5" s="1885" t="s">
        <v>769</v>
      </c>
      <c r="AQ5" s="1885" t="s">
        <v>796</v>
      </c>
      <c r="AR5" s="1885" t="s">
        <v>797</v>
      </c>
      <c r="AS5" s="1885" t="s">
        <v>799</v>
      </c>
      <c r="AT5" s="1885" t="s">
        <v>792</v>
      </c>
      <c r="AU5" s="1885" t="s">
        <v>1128</v>
      </c>
      <c r="AV5" s="1885" t="s">
        <v>436</v>
      </c>
      <c r="AW5" s="1885" t="s">
        <v>783</v>
      </c>
      <c r="AX5" s="1885" t="s">
        <v>722</v>
      </c>
      <c r="BU5" s="1885" t="s">
        <v>1045</v>
      </c>
    </row>
    <row r="6" spans="1:73" ht="21.75" customHeight="1">
      <c r="A6" s="1669"/>
      <c r="B6" s="298"/>
      <c r="C6" s="1924"/>
      <c r="D6" s="1926"/>
      <c r="E6" s="1886"/>
      <c r="F6" s="1915"/>
      <c r="G6" s="1886"/>
      <c r="H6" s="1886"/>
      <c r="I6" s="1886"/>
      <c r="J6" s="1886"/>
      <c r="K6" s="1886"/>
      <c r="L6" s="1886"/>
      <c r="M6" s="1886"/>
      <c r="N6" s="1886"/>
      <c r="O6" s="1886"/>
      <c r="P6" s="1921"/>
      <c r="Q6" s="1921"/>
      <c r="R6" s="1886"/>
      <c r="S6" s="1886"/>
      <c r="T6" s="1886"/>
      <c r="U6" s="1886"/>
      <c r="V6" s="1889"/>
      <c r="W6" s="1904"/>
      <c r="X6" s="1907"/>
      <c r="Y6" s="1883"/>
      <c r="Z6" s="1883"/>
      <c r="AA6" s="1886"/>
      <c r="AB6" s="1886"/>
      <c r="AC6" s="1886"/>
      <c r="AD6" s="1886"/>
      <c r="AE6" s="1886"/>
      <c r="AF6" s="1886"/>
      <c r="AG6" s="1886"/>
      <c r="AH6" s="1886"/>
      <c r="AI6" s="1886"/>
      <c r="AJ6" s="1886"/>
      <c r="AK6" s="1886"/>
      <c r="AL6" s="1886"/>
      <c r="AM6" s="1901"/>
      <c r="AN6" s="1886"/>
      <c r="AO6" s="1886"/>
      <c r="AP6" s="1886"/>
      <c r="AQ6" s="1886"/>
      <c r="AR6" s="1886"/>
      <c r="AS6" s="1886"/>
      <c r="AT6" s="1886"/>
      <c r="AU6" s="1886"/>
      <c r="AV6" s="1886"/>
      <c r="AW6" s="1886"/>
      <c r="AX6" s="1886"/>
      <c r="BU6" s="1886"/>
    </row>
    <row r="7" spans="1:73" ht="38.25" customHeight="1" thickBot="1">
      <c r="A7" s="1670"/>
      <c r="B7" s="299"/>
      <c r="C7" s="648" t="str">
        <f>Datos!A7</f>
        <v>COMPETENCIAS</v>
      </c>
      <c r="D7" s="1927"/>
      <c r="E7" s="1887"/>
      <c r="F7" s="1916"/>
      <c r="G7" s="1887"/>
      <c r="H7" s="1887"/>
      <c r="I7" s="1887"/>
      <c r="J7" s="1887"/>
      <c r="K7" s="1887"/>
      <c r="L7" s="1887"/>
      <c r="M7" s="1887"/>
      <c r="N7" s="1887"/>
      <c r="O7" s="1887"/>
      <c r="P7" s="1922"/>
      <c r="Q7" s="1922"/>
      <c r="R7" s="1887"/>
      <c r="S7" s="1887"/>
      <c r="T7" s="1887"/>
      <c r="U7" s="1887"/>
      <c r="V7" s="1890"/>
      <c r="W7" s="1905"/>
      <c r="X7" s="1908"/>
      <c r="Y7" s="1884"/>
      <c r="Z7" s="1884"/>
      <c r="AA7" s="1887"/>
      <c r="AB7" s="1887"/>
      <c r="AC7" s="1887"/>
      <c r="AD7" s="1887"/>
      <c r="AE7" s="1887"/>
      <c r="AF7" s="1887"/>
      <c r="AG7" s="1887"/>
      <c r="AH7" s="1887"/>
      <c r="AI7" s="1887"/>
      <c r="AJ7" s="1887"/>
      <c r="AK7" s="1887"/>
      <c r="AL7" s="1887"/>
      <c r="AM7" s="1902"/>
      <c r="AN7" s="1887"/>
      <c r="AO7" s="1887"/>
      <c r="AP7" s="1887"/>
      <c r="AQ7" s="1887"/>
      <c r="AR7" s="1887"/>
      <c r="AS7" s="1887"/>
      <c r="AT7" s="1887"/>
      <c r="AU7" s="1887"/>
      <c r="AV7" s="1887"/>
      <c r="AW7" s="1887"/>
      <c r="AX7" s="1887"/>
      <c r="BU7" s="1887"/>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1200</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3</v>
      </c>
      <c r="G10" s="552">
        <f>IF(ISNUMBER(Datos!I10),Datos!I10," - ")</f>
        <v>3</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5</v>
      </c>
      <c r="Z10" s="805">
        <f>IF(ISNUMBER(Datos!Q10),Datos!Q10," - ")</f>
        <v>0</v>
      </c>
      <c r="AA10" s="551">
        <f>IF(ISNUMBER(Datos!L10),Datos!L10,"-")</f>
        <v>3</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0</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6.6</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1600</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1323</v>
      </c>
    </row>
    <row r="12" spans="1:73" s="578" customFormat="1" ht="14.25">
      <c r="A12" s="745">
        <f>Datos!AO12</f>
        <v>2</v>
      </c>
      <c r="B12" s="746" t="s">
        <v>321</v>
      </c>
      <c r="C12" s="747" t="str">
        <f>Datos!A12</f>
        <v xml:space="preserve">Jdos. 1ª Instª. e Instr.                        </v>
      </c>
      <c r="D12" s="601"/>
      <c r="E12" s="1558">
        <f>IF(ISNUMBER(Datos!AQ12),Datos!AQ12," - ")</f>
        <v>2</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561</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478</v>
      </c>
      <c r="AA12" s="551" t="str">
        <f>IF(ISNUMBER(IF(J_V="SI",Datos!L12,Datos!L12+Datos!AB12)-IF(Monitorios="SI",Datos!CD12,0)),
                          IF(J_V="SI",Datos!L12,Datos!L12+Datos!AB12)-IF(Monitorios="SI",Datos!CD12,0),
                          " - ")</f>
        <v xml:space="preserve"> - </v>
      </c>
      <c r="AB12" s="549"/>
      <c r="AC12" s="549"/>
      <c r="AD12" s="563"/>
      <c r="AE12" s="563">
        <f>IF(ISNUMBER(Datos!R12),Datos!R12," - ")</f>
        <v>1503</v>
      </c>
      <c r="AF12" s="693" t="str">
        <f>IF(ISNUMBER(Datos!BV12),Datos!BV12," - ")</f>
        <v xml:space="preserve"> - </v>
      </c>
      <c r="AG12" s="552" t="str">
        <f>IF(ISNUMBER(Datos!DV12),Datos!DV12," - ")</f>
        <v xml:space="preserve"> - </v>
      </c>
      <c r="AH12" s="553"/>
      <c r="AI12" s="554"/>
      <c r="AJ12" s="552">
        <f>IF(ISNUMBER(Datos!M12),Datos!M12," - ")</f>
        <v>268</v>
      </c>
      <c r="AK12" s="693">
        <f>IF(ISNUMBER(Datos!N12),Datos!N12," - ")</f>
        <v>425</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8.2366288492706659</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5.8450704225352111E-2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680</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875</v>
      </c>
    </row>
    <row r="14" spans="1:73" ht="15.75" thickTop="1" thickBot="1">
      <c r="A14" s="191"/>
      <c r="B14" s="191"/>
      <c r="C14" s="1160" t="str">
        <f>Datos!A14</f>
        <v>TOTAL</v>
      </c>
      <c r="D14" s="1160"/>
      <c r="E14" s="1197">
        <f>SUBTOTAL(9,E8:E13)</f>
        <v>2</v>
      </c>
      <c r="F14" s="1197">
        <f>SUBTOTAL(9,F8:F13)</f>
        <v>3</v>
      </c>
      <c r="G14" s="1197">
        <f>SUBTOTAL(9,G8:G13)</f>
        <v>3</v>
      </c>
      <c r="H14" s="1211"/>
      <c r="I14" s="1197">
        <f t="shared" ref="I14:N14" si="1">SUBTOTAL(9,I8:I13)</f>
        <v>0</v>
      </c>
      <c r="J14" s="1164">
        <f t="shared" si="1"/>
        <v>0</v>
      </c>
      <c r="K14" s="1211">
        <f t="shared" si="1"/>
        <v>0</v>
      </c>
      <c r="L14" s="1211">
        <f t="shared" si="1"/>
        <v>0</v>
      </c>
      <c r="M14" s="1211">
        <f t="shared" si="1"/>
        <v>0</v>
      </c>
      <c r="N14" s="1211">
        <f t="shared" si="1"/>
        <v>561</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5</v>
      </c>
      <c r="Z14" s="1210">
        <f t="shared" si="3"/>
        <v>478</v>
      </c>
      <c r="AA14" s="1199">
        <f t="shared" si="3"/>
        <v>3</v>
      </c>
      <c r="AB14" s="1199">
        <f t="shared" si="3"/>
        <v>0</v>
      </c>
      <c r="AC14" s="1199">
        <f t="shared" si="3"/>
        <v>0</v>
      </c>
      <c r="AD14" s="1199">
        <f t="shared" si="3"/>
        <v>0</v>
      </c>
      <c r="AE14" s="1199">
        <f t="shared" si="3"/>
        <v>1503</v>
      </c>
      <c r="AF14" s="1211">
        <f t="shared" si="3"/>
        <v>0</v>
      </c>
      <c r="AG14" s="1211">
        <f t="shared" si="3"/>
        <v>0</v>
      </c>
      <c r="AH14" s="1211">
        <f t="shared" si="3"/>
        <v>0</v>
      </c>
      <c r="AI14" s="1211">
        <f t="shared" si="3"/>
        <v>0</v>
      </c>
      <c r="AJ14" s="1211">
        <f t="shared" si="3"/>
        <v>268</v>
      </c>
      <c r="AK14" s="1211">
        <f t="shared" si="3"/>
        <v>425</v>
      </c>
      <c r="AL14" s="1211">
        <f t="shared" si="3"/>
        <v>0</v>
      </c>
      <c r="AM14" s="1211">
        <f t="shared" si="3"/>
        <v>0</v>
      </c>
      <c r="AN14" s="1211">
        <f t="shared" si="3"/>
        <v>0</v>
      </c>
      <c r="AO14" s="1203">
        <f>IF(ISNUMBER(((NºAsuntos!I14/NºAsuntos!G14)*11)/factor_trimestre),((NºAsuntos!I14/NºAsuntos!G14)*11)/factor_trimestre," - ")</f>
        <v>8.2300242130750618</v>
      </c>
      <c r="AP14" s="1213" t="str">
        <f>IF(ISNUMBER(Datos!CI14/Datos!CJ14),Datos!CI14/Datos!CJ14," - ")</f>
        <v xml:space="preserve"> - </v>
      </c>
      <c r="AQ14" s="1236">
        <f t="shared" ref="AQ14:AV14" si="4">SUBTOTAL(9,AQ9:AQ13)</f>
        <v>0</v>
      </c>
      <c r="AR14" s="1236">
        <f t="shared" si="4"/>
        <v>5.8450704225352111E-2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3300</v>
      </c>
    </row>
    <row r="17" spans="1:73" s="578" customFormat="1" ht="14.25">
      <c r="A17" s="745">
        <f>Datos!AO17</f>
        <v>2</v>
      </c>
      <c r="B17" s="746" t="s">
        <v>511</v>
      </c>
      <c r="C17" s="765" t="str">
        <f>Datos!A17</f>
        <v xml:space="preserve">Jdos. 1ª Instª. e Instr.                        </v>
      </c>
      <c r="D17" s="593"/>
      <c r="E17" s="1558">
        <f>IF(ISNUMBER(Datos!AQ17),Datos!AQ17," - ")</f>
        <v>2</v>
      </c>
      <c r="F17" s="543">
        <f>IF(ISNUMBER(AA17+Y17-Datos!J17-K16),AA17+Y17-Datos!J17-K16," - ")</f>
        <v>746</v>
      </c>
      <c r="G17" s="552">
        <f>IF(ISNUMBER(IF(D_I="SI",Datos!I17,Datos!I17+Datos!AC17)),IF(D_I="SI",Datos!I17,Datos!I17+Datos!AC17)," - ")</f>
        <v>734</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27</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1649</v>
      </c>
      <c r="Z17" s="805">
        <f>IF(ISNUMBER(Datos!Q17),Datos!Q17," - ")</f>
        <v>40</v>
      </c>
      <c r="AA17" s="551">
        <f>IF(ISNUMBER(IF(D_I="SI",Datos!L17,Datos!L17+Datos!AF17)),IF(D_I="SI",Datos!L17,Datos!L17+Datos!AF17)," - ")</f>
        <v>550</v>
      </c>
      <c r="AB17" s="549"/>
      <c r="AC17" s="549"/>
      <c r="AD17" s="563"/>
      <c r="AE17" s="563">
        <f>IF(ISNUMBER(Datos!R17),Datos!R17," - ")</f>
        <v>62</v>
      </c>
      <c r="AF17" s="693" t="str">
        <f>IF(ISNUMBER(Datos!BV17),Datos!BV17," - ")</f>
        <v xml:space="preserve"> - </v>
      </c>
      <c r="AG17" s="552"/>
      <c r="AH17" s="553"/>
      <c r="AI17" s="554"/>
      <c r="AJ17" s="552">
        <f>IF(ISNUMBER(Datos!M17),Datos!M17," - ")</f>
        <v>158</v>
      </c>
      <c r="AK17" s="693">
        <f>IF(ISNUMBER(Datos!N17),Datos!N17," - ")</f>
        <v>1193</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3.6688902365069738</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1000</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40</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1</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79</v>
      </c>
      <c r="Z18" s="805">
        <f>IF(ISNUMBER(Datos!Q18),Datos!Q18," - ")</f>
        <v>0</v>
      </c>
      <c r="AA18" s="551">
        <f>IF(ISNUMBER(Datos!L18),Datos!L18,"-")</f>
        <v>62</v>
      </c>
      <c r="AB18" s="549"/>
      <c r="AC18" s="549"/>
      <c r="AD18" s="563"/>
      <c r="AE18" s="563">
        <f>IF(ISNUMBER(Datos!R18),Datos!R18," - ")</f>
        <v>1</v>
      </c>
      <c r="AF18" s="693" t="str">
        <f>IF(ISNUMBER(Datos!BV18),Datos!BV18," - ")</f>
        <v xml:space="preserve"> - </v>
      </c>
      <c r="AG18" s="552" t="str">
        <f>IF(ISNUMBER(Datos!DV18),Datos!DV18," - ")</f>
        <v xml:space="preserve"> - </v>
      </c>
      <c r="AH18" s="553"/>
      <c r="AI18" s="554"/>
      <c r="AJ18" s="552">
        <f>IF(ISNUMBER(Datos!M18),Datos!M18," - ")</f>
        <v>10</v>
      </c>
      <c r="AK18" s="693">
        <f>IF(ISNUMBER(Datos!N18),Datos!N18," - ")</f>
        <v>76</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8.6329113924050631</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1600</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875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5240</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400</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2400</v>
      </c>
    </row>
    <row r="23" spans="1:73" ht="15.75" thickTop="1" thickBot="1">
      <c r="A23" s="191"/>
      <c r="B23" s="191"/>
      <c r="C23" s="1160" t="str">
        <f>Datos!A23</f>
        <v>TOTAL</v>
      </c>
      <c r="D23" s="1160"/>
      <c r="E23" s="1559">
        <f>SUBTOTAL(9,E16:E22)</f>
        <v>2</v>
      </c>
      <c r="F23" s="1197">
        <f>SUBTOTAL(9,F16:F22)</f>
        <v>746</v>
      </c>
      <c r="G23" s="1197">
        <f>SUBTOTAL(9,G16:G22)</f>
        <v>774</v>
      </c>
      <c r="H23" s="1240">
        <f>SUBTOTAL(9,H16:H22)</f>
        <v>0</v>
      </c>
      <c r="I23" s="1217">
        <f>SUBTOTAL(9,I16:I22)</f>
        <v>0</v>
      </c>
      <c r="J23" s="1164">
        <f>SUBTOTAL(9,J15:J22)</f>
        <v>0</v>
      </c>
      <c r="K23" s="1240">
        <f t="shared" ref="K23:S23" si="5">SUBTOTAL(9,K16:K22)</f>
        <v>0</v>
      </c>
      <c r="L23" s="1240">
        <f t="shared" si="5"/>
        <v>0</v>
      </c>
      <c r="M23" s="1240">
        <f t="shared" si="5"/>
        <v>0</v>
      </c>
      <c r="N23" s="1240">
        <f t="shared" si="5"/>
        <v>28</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1728</v>
      </c>
      <c r="Z23" s="1240">
        <f t="shared" si="6"/>
        <v>40</v>
      </c>
      <c r="AA23" s="1240">
        <f t="shared" si="6"/>
        <v>612</v>
      </c>
      <c r="AB23" s="1240">
        <f t="shared" si="6"/>
        <v>0</v>
      </c>
      <c r="AC23" s="1240">
        <f t="shared" si="6"/>
        <v>0</v>
      </c>
      <c r="AD23" s="1240">
        <f t="shared" si="6"/>
        <v>0</v>
      </c>
      <c r="AE23" s="1240">
        <f t="shared" si="6"/>
        <v>63</v>
      </c>
      <c r="AF23" s="1240">
        <f t="shared" si="6"/>
        <v>0</v>
      </c>
      <c r="AG23" s="1240">
        <f t="shared" si="6"/>
        <v>0</v>
      </c>
      <c r="AH23" s="1240">
        <f t="shared" si="6"/>
        <v>0</v>
      </c>
      <c r="AI23" s="1240">
        <f t="shared" si="6"/>
        <v>0</v>
      </c>
      <c r="AJ23" s="1240">
        <f t="shared" si="6"/>
        <v>168</v>
      </c>
      <c r="AK23" s="1240">
        <f t="shared" si="6"/>
        <v>1269</v>
      </c>
      <c r="AL23" s="1240">
        <f t="shared" si="6"/>
        <v>0</v>
      </c>
      <c r="AM23" s="1240">
        <f t="shared" si="6"/>
        <v>0</v>
      </c>
      <c r="AN23" s="1240">
        <f t="shared" si="6"/>
        <v>0</v>
      </c>
      <c r="AO23" s="1242">
        <f>IF(ISNUMBER(((NºAsuntos!I23/NºAsuntos!G23)*11)/factor_trimestre),((NºAsuntos!I23/NºAsuntos!G23)*11)/factor_trimestre," - ")</f>
        <v>3.8958333333333335</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570</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800</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3500</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v>
      </c>
      <c r="F31" s="1117">
        <f t="shared" si="12"/>
        <v>749</v>
      </c>
      <c r="G31" s="1117">
        <f t="shared" si="12"/>
        <v>777</v>
      </c>
      <c r="H31" s="1118">
        <f t="shared" si="12"/>
        <v>0</v>
      </c>
      <c r="I31" s="1117">
        <f t="shared" si="12"/>
        <v>0</v>
      </c>
      <c r="J31" s="1119">
        <f t="shared" si="12"/>
        <v>0</v>
      </c>
      <c r="K31" s="1117">
        <f t="shared" si="12"/>
        <v>0</v>
      </c>
      <c r="L31" s="1120">
        <f t="shared" si="12"/>
        <v>0</v>
      </c>
      <c r="M31" s="1117">
        <f t="shared" si="12"/>
        <v>0</v>
      </c>
      <c r="N31" s="1118">
        <f t="shared" si="12"/>
        <v>589</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1733</v>
      </c>
      <c r="Z31" s="1124">
        <f t="shared" si="13"/>
        <v>518</v>
      </c>
      <c r="AA31" s="1125">
        <f t="shared" si="13"/>
        <v>615</v>
      </c>
      <c r="AB31" s="1125">
        <f t="shared" si="13"/>
        <v>0</v>
      </c>
      <c r="AC31" s="1125">
        <f t="shared" si="13"/>
        <v>0</v>
      </c>
      <c r="AD31" s="1126">
        <f t="shared" si="13"/>
        <v>0</v>
      </c>
      <c r="AE31" s="1126">
        <f t="shared" si="13"/>
        <v>1566</v>
      </c>
      <c r="AF31" s="1127">
        <f t="shared" si="13"/>
        <v>0</v>
      </c>
      <c r="AG31" s="1128">
        <f t="shared" si="13"/>
        <v>0</v>
      </c>
      <c r="AH31" s="1129">
        <f t="shared" si="13"/>
        <v>0</v>
      </c>
      <c r="AI31" s="1127">
        <f t="shared" si="13"/>
        <v>0</v>
      </c>
      <c r="AJ31" s="1117">
        <f t="shared" si="13"/>
        <v>436</v>
      </c>
      <c r="AK31" s="1117">
        <f t="shared" si="13"/>
        <v>1694</v>
      </c>
      <c r="AL31" s="1117">
        <f t="shared" si="13"/>
        <v>0</v>
      </c>
      <c r="AM31" s="1130">
        <f t="shared" si="13"/>
        <v>0</v>
      </c>
      <c r="AN31" s="1120">
        <f>IF(ISNUMBER(Datos!K31/Datos!J31),Datos!K31/Datos!J31," - ")</f>
        <v>1.0867768595041323</v>
      </c>
      <c r="AO31" s="1120">
        <f>IF(ISNUMBER(FIND("06",Criterios!A8,1)),(IF(ISNUMBER(((Datos!R31/Datos!Q31)*11)/factor_trimestre),((Datos!R31/Datos!Q31)*11)/factor_trimestre," - ")),(IF(ISNUMBER(((Datos!L31/Datos!K31)*11)/factor_trimestre),((Datos!L31/Datos!K31)*11)/factor_trimestre," - ")))</f>
        <v>5.3688212927756656</v>
      </c>
      <c r="AP31" s="1131" t="str">
        <f>IF(ISNUMBER(Datos!CI31/Datos!CJ31),Datos!CI31/Datos!CJ31," - ")</f>
        <v xml:space="preserve"> - </v>
      </c>
      <c r="AQ31" s="1131">
        <f>IF(OR(ISNUMBER(FIND("01",Criterios!A8,1)),ISNUMBER(FIND("02",Criterios!A8,1)),ISNUMBER(FIND("03",Criterios!A8,1)),ISNUMBER(FIND("04",Criterios!A8,1))),(J31-Y31+K31)/(F31-K31),(I31-Y31+K31)/(F31-K31))</f>
        <v>-2.313751668891856</v>
      </c>
      <c r="AR31" s="1131">
        <f>IF(ISNUMBER((Datos!P31-Datos!Q31+O31)/(Datos!R31-Datos!P31+Datos!Q31-O31)),(Datos!P31-Datos!Q31+O31)/(Datos!R31-Datos!P31+Datos!Q31-O31)," - ")</f>
        <v>4.749163879598662E-2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222</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384.4604877834218</v>
      </c>
      <c r="G33" s="674">
        <f>IF(ISNUMBER(STDEV(G8:G30)),STDEV(G8:G30),"-")</f>
        <v>363.88230698033857</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120.64588087219792</v>
      </c>
      <c r="AK33" s="276"/>
      <c r="AL33" s="276">
        <f>IF(ISNUMBER(STDEV(AL8:AL30)),STDEV(AL8:AL30),"-")</f>
        <v>0</v>
      </c>
      <c r="AM33" s="278">
        <f>IF(ISNUMBER(STDEV(AM8:AM30)),STDEV(AM8:AM30),"-")</f>
        <v>0</v>
      </c>
      <c r="AN33" s="660">
        <f>IF(ISNUMBER(STDEV(AN8:AN30)),STDEV(AN8:AN30),"-")</f>
        <v>0</v>
      </c>
      <c r="AO33" s="661">
        <f>IF(ISNUMBER(STDEV(AO8:AO30)),STDEV(AO8:AO30),"-")</f>
        <v>2.2518170310453409</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1360.174036483497</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14 abr. 2023</v>
      </c>
    </row>
    <row r="43" spans="1:73">
      <c r="V43" s="1378"/>
    </row>
    <row r="44" spans="1:73" ht="13.5" thickBot="1">
      <c r="C44" s="655"/>
      <c r="D44" s="645"/>
      <c r="E44" s="645"/>
    </row>
    <row r="45" spans="1:73" ht="15" thickBot="1">
      <c r="L45" s="668"/>
    </row>
  </sheetData>
  <sheetProtection algorithmName="SHA-512" hashValue="A7ix5SYjE2pRyB3nS91M0FzoDIOUWfWTyKkIJ/vD3H/ChH+bUGXP7iKd/WVwz8XTMGCOpIev6jnkuLPA7rM1ng==" saltValue="9bdzaewHTPWuGXvInHB+q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x2CuOy+tHQSqKZsdFRiB75XJE4SPdvXFvjVPTofR1qfIhD5ZdKL2LgBqXAxj4iN90oQZkVpr9lvO3TJ4BEmIJQ==" saltValue="hSzF2nWs9KE5WmtGRxKnN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ARAGON</v>
      </c>
    </row>
    <row r="4" spans="1:155" ht="13.5" thickBot="1">
      <c r="A4" t="str">
        <f>Criterios!A10</f>
        <v>Provincias</v>
      </c>
      <c r="B4" t="str">
        <f>Criterios!B10</f>
        <v>ZARAGOZA</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413</v>
      </c>
      <c r="BN5" s="1630" t="s">
        <v>262</v>
      </c>
      <c r="BO5" s="1631"/>
      <c r="BP5" s="1630" t="s">
        <v>263</v>
      </c>
      <c r="BQ5" s="1631"/>
      <c r="BR5" s="1630" t="s">
        <v>264</v>
      </c>
      <c r="BS5" s="1631"/>
      <c r="BT5" s="1630" t="s">
        <v>265</v>
      </c>
      <c r="BU5" s="1631"/>
      <c r="BV5" s="1807" t="s">
        <v>349</v>
      </c>
      <c r="BW5" s="1813" t="s">
        <v>327</v>
      </c>
      <c r="BX5" s="1813"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547</v>
      </c>
      <c r="CL5" s="1774" t="s">
        <v>548</v>
      </c>
      <c r="CM5" s="1774" t="s">
        <v>586</v>
      </c>
      <c r="CN5" s="1858" t="s">
        <v>484</v>
      </c>
      <c r="CO5" s="1858" t="s">
        <v>477</v>
      </c>
      <c r="CP5" s="1858" t="s">
        <v>483</v>
      </c>
      <c r="CQ5" s="1873" t="s">
        <v>482</v>
      </c>
      <c r="CR5" s="1873" t="s">
        <v>482</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643</v>
      </c>
      <c r="DM5" s="1777" t="s">
        <v>714</v>
      </c>
      <c r="DN5" s="1777" t="s">
        <v>715</v>
      </c>
      <c r="DO5" s="1777" t="s">
        <v>716</v>
      </c>
      <c r="DP5" s="1777" t="s">
        <v>717</v>
      </c>
      <c r="DQ5" s="1777" t="s">
        <v>718</v>
      </c>
      <c r="DR5" s="1777" t="s">
        <v>719</v>
      </c>
      <c r="DS5" s="1777" t="s">
        <v>720</v>
      </c>
      <c r="DT5" s="1777" t="s">
        <v>721</v>
      </c>
      <c r="DU5" s="1778" t="s">
        <v>722</v>
      </c>
      <c r="DV5" s="1756" t="s">
        <v>723</v>
      </c>
      <c r="DW5" s="1753" t="s">
        <v>724</v>
      </c>
      <c r="DX5" s="1777" t="s">
        <v>725</v>
      </c>
      <c r="DY5" s="1750" t="s">
        <v>726</v>
      </c>
      <c r="DZ5" s="1753" t="s">
        <v>727</v>
      </c>
      <c r="EA5" s="1750" t="s">
        <v>728</v>
      </c>
      <c r="EB5" s="1784" t="s">
        <v>788</v>
      </c>
      <c r="EC5" s="1784" t="s">
        <v>789</v>
      </c>
      <c r="ED5" s="1784" t="s">
        <v>790</v>
      </c>
      <c r="EE5" s="1784" t="s">
        <v>830</v>
      </c>
      <c r="EF5" s="1784" t="s">
        <v>834</v>
      </c>
      <c r="EG5" s="1750" t="s">
        <v>832</v>
      </c>
      <c r="EH5" s="1750" t="s">
        <v>833</v>
      </c>
      <c r="EI5" s="1750" t="s">
        <v>792</v>
      </c>
      <c r="EJ5" s="1750" t="s">
        <v>793</v>
      </c>
      <c r="EK5" s="1765" t="s">
        <v>881</v>
      </c>
      <c r="EL5" s="1768" t="s">
        <v>899</v>
      </c>
      <c r="EM5" s="1769"/>
      <c r="EN5" s="1770"/>
      <c r="EO5" s="1762" t="s">
        <v>999</v>
      </c>
      <c r="EP5" s="1762" t="s">
        <v>1001</v>
      </c>
      <c r="EQ5" s="1762" t="s">
        <v>1002</v>
      </c>
      <c r="ER5" s="1762" t="s">
        <v>1015</v>
      </c>
      <c r="ES5" s="1762" t="s">
        <v>1017</v>
      </c>
      <c r="ET5" s="1759" t="s">
        <v>1105</v>
      </c>
      <c r="EU5" s="1759" t="s">
        <v>1106</v>
      </c>
      <c r="EV5" s="1870" t="s">
        <v>1127</v>
      </c>
      <c r="EW5" s="1870" t="s">
        <v>1133</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t="s">
        <v>222</v>
      </c>
      <c r="BO6" s="1628" t="s">
        <v>223</v>
      </c>
      <c r="BP6" s="1628" t="s">
        <v>222</v>
      </c>
      <c r="BQ6" s="1628" t="s">
        <v>223</v>
      </c>
      <c r="BR6" s="1628" t="s">
        <v>222</v>
      </c>
      <c r="BS6" s="1628" t="s">
        <v>223</v>
      </c>
      <c r="BT6" s="1628" t="s">
        <v>222</v>
      </c>
      <c r="BU6" s="1628" t="s">
        <v>223</v>
      </c>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998</v>
      </c>
      <c r="B7" s="1821"/>
      <c r="C7" s="1824"/>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900</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1107</v>
      </c>
      <c r="EU8" s="1519" t="s">
        <v>1108</v>
      </c>
      <c r="EV8" s="165" t="s">
        <v>1116</v>
      </c>
      <c r="EW8" s="165">
        <v>153</v>
      </c>
      <c r="EX8" s="532" t="s">
        <v>1169</v>
      </c>
      <c r="EY8" s="532" t="s">
        <v>1183</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2zXYPhYPmxr5HsuNq35L660fGY3fl1k6+TdGcI27FeH42KGDb6JHcKrnJCBMAaS8ypINbt8Y8a5dmSAaZgA9Pg==" saltValue="kRXt1ZWFclUbpm1q68DZbQ=="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ARAGON</v>
      </c>
      <c r="F1" s="856"/>
    </row>
    <row r="2" spans="1:75" ht="16.5" customHeight="1">
      <c r="C2" s="567" t="str">
        <f>Criterios!A10 &amp;"  "&amp;Criterios!B10 &amp; "  " &amp; IF(NOT(ISBLANK(Criterios!A11)),Criterios!A11 &amp;"  "&amp;Criterios!B11,"")</f>
        <v>Provincias  ZARAGOZA  Resumenes por Partidos Judiciales  CALATAYUD</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68" t="s">
        <v>465</v>
      </c>
      <c r="B5" s="297"/>
      <c r="C5" s="1668" t="str">
        <f>"Año:  " &amp;Criterios!B$5 &amp; "          Trimestre   " &amp;Criterios!D$5 &amp; " al " &amp;Criterios!D$6</f>
        <v>Año:  2022          Trimestre   1 al 4</v>
      </c>
      <c r="D5" s="1885" t="s">
        <v>491</v>
      </c>
      <c r="E5" s="1885" t="s">
        <v>757</v>
      </c>
      <c r="F5" s="1914" t="s">
        <v>527</v>
      </c>
      <c r="G5" s="1885" t="s">
        <v>173</v>
      </c>
      <c r="H5" s="1885" t="s">
        <v>790</v>
      </c>
      <c r="I5" s="1885" t="s">
        <v>758</v>
      </c>
      <c r="J5" s="1885" t="s">
        <v>875</v>
      </c>
      <c r="K5" s="1885" t="s">
        <v>759</v>
      </c>
      <c r="L5" s="1885" t="s">
        <v>714</v>
      </c>
      <c r="M5" s="1917" t="s">
        <v>788</v>
      </c>
      <c r="N5" s="1885" t="s">
        <v>932</v>
      </c>
      <c r="O5" s="1885" t="s">
        <v>891</v>
      </c>
      <c r="P5" s="1885" t="s">
        <v>229</v>
      </c>
      <c r="Q5" s="1920" t="s">
        <v>887</v>
      </c>
      <c r="R5" s="1920" t="s">
        <v>933</v>
      </c>
      <c r="S5" s="1885" t="s">
        <v>791</v>
      </c>
      <c r="T5" s="1920" t="s">
        <v>760</v>
      </c>
      <c r="U5" s="1920" t="s">
        <v>1043</v>
      </c>
      <c r="V5" s="1920" t="s">
        <v>1044</v>
      </c>
      <c r="W5" s="1903" t="s">
        <v>816</v>
      </c>
      <c r="X5" s="1906" t="s">
        <v>761</v>
      </c>
      <c r="Y5" s="1903" t="s">
        <v>762</v>
      </c>
      <c r="Z5" s="1903" t="s">
        <v>763</v>
      </c>
      <c r="AA5" s="1885" t="s">
        <v>892</v>
      </c>
      <c r="AB5" s="1885" t="s">
        <v>898</v>
      </c>
      <c r="AC5" s="1885" t="s">
        <v>243</v>
      </c>
      <c r="AD5" s="1891" t="s">
        <v>241</v>
      </c>
      <c r="AE5" s="1885" t="s">
        <v>893</v>
      </c>
      <c r="AF5" s="1894" t="s">
        <v>894</v>
      </c>
      <c r="AG5" s="1897" t="s">
        <v>723</v>
      </c>
      <c r="AH5" s="1885" t="s">
        <v>724</v>
      </c>
      <c r="AI5" s="1885" t="s">
        <v>814</v>
      </c>
      <c r="AJ5" s="1900" t="s">
        <v>815</v>
      </c>
      <c r="AK5" s="1897" t="s">
        <v>244</v>
      </c>
      <c r="AL5" s="1885" t="s">
        <v>767</v>
      </c>
      <c r="AM5" s="1885" t="s">
        <v>322</v>
      </c>
      <c r="AN5" s="1885" t="s">
        <v>323</v>
      </c>
      <c r="AO5" s="1885" t="s">
        <v>324</v>
      </c>
      <c r="AP5" s="1885" t="s">
        <v>768</v>
      </c>
      <c r="AQ5" s="1885" t="s">
        <v>325</v>
      </c>
      <c r="AR5" s="1885" t="s">
        <v>769</v>
      </c>
      <c r="AS5" s="1885" t="s">
        <v>770</v>
      </c>
      <c r="AT5" s="1885" t="s">
        <v>771</v>
      </c>
      <c r="AU5" s="1885" t="s">
        <v>799</v>
      </c>
      <c r="AV5" s="1885" t="s">
        <v>792</v>
      </c>
      <c r="AW5" s="1885" t="s">
        <v>1128</v>
      </c>
      <c r="AX5" s="1885" t="s">
        <v>1132</v>
      </c>
      <c r="AY5" s="1885" t="s">
        <v>1134</v>
      </c>
      <c r="AZ5" s="1885" t="s">
        <v>793</v>
      </c>
      <c r="BA5" s="1885" t="s">
        <v>1184</v>
      </c>
      <c r="BB5" s="1885" t="s">
        <v>772</v>
      </c>
      <c r="BC5" s="1885" t="s">
        <v>722</v>
      </c>
      <c r="BW5" s="1885" t="s">
        <v>1045</v>
      </c>
    </row>
    <row r="6" spans="1:75" ht="21.75" customHeight="1">
      <c r="A6" s="1936"/>
      <c r="B6" s="880"/>
      <c r="C6" s="1938"/>
      <c r="D6" s="1886"/>
      <c r="E6" s="1886"/>
      <c r="F6" s="1915"/>
      <c r="G6" s="1886"/>
      <c r="H6" s="1886"/>
      <c r="I6" s="1886"/>
      <c r="J6" s="1886"/>
      <c r="K6" s="1886"/>
      <c r="L6" s="1886"/>
      <c r="M6" s="1918"/>
      <c r="N6" s="1886"/>
      <c r="O6" s="1886"/>
      <c r="P6" s="1886"/>
      <c r="Q6" s="1921"/>
      <c r="R6" s="1921"/>
      <c r="S6" s="1886"/>
      <c r="T6" s="1921"/>
      <c r="U6" s="1921"/>
      <c r="V6" s="1921"/>
      <c r="W6" s="1904"/>
      <c r="X6" s="1907"/>
      <c r="Y6" s="1904"/>
      <c r="Z6" s="1904"/>
      <c r="AA6" s="1886"/>
      <c r="AB6" s="1886"/>
      <c r="AC6" s="1886"/>
      <c r="AD6" s="1892"/>
      <c r="AE6" s="1886"/>
      <c r="AF6" s="1895"/>
      <c r="AG6" s="1898"/>
      <c r="AH6" s="1886"/>
      <c r="AI6" s="1886"/>
      <c r="AJ6" s="1901"/>
      <c r="AK6" s="1898"/>
      <c r="AL6" s="1886"/>
      <c r="AM6" s="1886"/>
      <c r="AN6" s="1886"/>
      <c r="AO6" s="1886"/>
      <c r="AP6" s="1886"/>
      <c r="AQ6" s="1886"/>
      <c r="AR6" s="1886"/>
      <c r="AS6" s="1886"/>
      <c r="AT6" s="1886"/>
      <c r="AU6" s="1886"/>
      <c r="AV6" s="1886"/>
      <c r="AW6" s="1886"/>
      <c r="AX6" s="1886"/>
      <c r="AY6" s="1886"/>
      <c r="AZ6" s="1886"/>
      <c r="BA6" s="1886"/>
      <c r="BB6" s="1886"/>
      <c r="BC6" s="1886"/>
      <c r="BW6" s="1886"/>
    </row>
    <row r="7" spans="1:75" ht="38.25" customHeight="1" thickBot="1">
      <c r="A7" s="1937"/>
      <c r="B7" s="881"/>
      <c r="C7" s="882" t="str">
        <f>DatosP!A7</f>
        <v>COMPETENCIAS</v>
      </c>
      <c r="D7" s="1887"/>
      <c r="E7" s="1887"/>
      <c r="F7" s="1916"/>
      <c r="G7" s="1887"/>
      <c r="H7" s="1887"/>
      <c r="I7" s="1887"/>
      <c r="J7" s="1887"/>
      <c r="K7" s="1887"/>
      <c r="L7" s="1887"/>
      <c r="M7" s="1919"/>
      <c r="N7" s="1887"/>
      <c r="O7" s="1887"/>
      <c r="P7" s="1887"/>
      <c r="Q7" s="1922"/>
      <c r="R7" s="1922"/>
      <c r="S7" s="1887"/>
      <c r="T7" s="1922"/>
      <c r="U7" s="1922"/>
      <c r="V7" s="1922"/>
      <c r="W7" s="1905"/>
      <c r="X7" s="1908"/>
      <c r="Y7" s="1905"/>
      <c r="Z7" s="1905"/>
      <c r="AA7" s="1887"/>
      <c r="AB7" s="1887"/>
      <c r="AC7" s="1887"/>
      <c r="AD7" s="1893"/>
      <c r="AE7" s="1887"/>
      <c r="AF7" s="1896"/>
      <c r="AG7" s="1899"/>
      <c r="AH7" s="1887"/>
      <c r="AI7" s="1887"/>
      <c r="AJ7" s="1902"/>
      <c r="AK7" s="1899"/>
      <c r="AL7" s="1887"/>
      <c r="AM7" s="1887"/>
      <c r="AN7" s="1887"/>
      <c r="AO7" s="1887"/>
      <c r="AP7" s="1887"/>
      <c r="AQ7" s="1887"/>
      <c r="AR7" s="1887"/>
      <c r="AS7" s="1887"/>
      <c r="AT7" s="1887"/>
      <c r="AU7" s="1887"/>
      <c r="AV7" s="1887"/>
      <c r="AW7" s="1887"/>
      <c r="AX7" s="1887"/>
      <c r="AY7" s="1887"/>
      <c r="AZ7" s="1887"/>
      <c r="BA7" s="1887"/>
      <c r="BB7" s="1887"/>
      <c r="BC7" s="1887"/>
      <c r="BW7" s="1887"/>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0.21630347054075869</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0.15294965081355508</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14 abr. 2023</v>
      </c>
    </row>
    <row r="44" spans="1:75">
      <c r="C44" s="1048"/>
      <c r="D44" s="1049"/>
    </row>
  </sheetData>
  <sheetProtection algorithmName="SHA-512" hashValue="xrjZrLN2l4MOi56b52+9tmIKM7q8DVd60NalyqbrY1eMrMDUqWwM9W6DMG7kSSwsMzj/CrrtW+/dfDy1L4Y+lg==" saltValue="c2LqSMmp1N01tru4NdFp1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1101</v>
      </c>
    </row>
    <row r="3" spans="2:5" ht="16.5" customHeight="1" thickBot="1">
      <c r="B3" s="1518" t="s">
        <v>1102</v>
      </c>
      <c r="C3" s="1518" t="s">
        <v>1103</v>
      </c>
      <c r="D3" s="1518" t="s">
        <v>1104</v>
      </c>
      <c r="E3" s="1527" t="s">
        <v>1109</v>
      </c>
    </row>
  </sheetData>
  <sheetProtection algorithmName="SHA-512" hashValue="xQG1X8DFgYgzIH91BDQNYimREYjDPEtYIGOSRT36VFLoW0vgl8IpcCDnBD9MQDMvnyddbi/yRQBkbN9XGWNZiA==" saltValue="lpa7Jhf27alg5hEed2OoB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ARAGON</v>
      </c>
      <c r="C2" s="436"/>
      <c r="D2" s="436"/>
      <c r="E2" s="436"/>
      <c r="F2" s="436"/>
    </row>
    <row r="3" spans="1:14" ht="19.5">
      <c r="A3" s="438" t="s">
        <v>159</v>
      </c>
      <c r="B3" s="439" t="str">
        <f>Criterios!A10 &amp;"  "&amp;Criterios!B10</f>
        <v>Provincias  ZARAGOZA</v>
      </c>
      <c r="D3" s="436"/>
      <c r="E3" s="436"/>
      <c r="F3" s="436"/>
    </row>
    <row r="4" spans="1:14" ht="13.5" thickBot="1">
      <c r="A4" s="436"/>
      <c r="B4" s="439" t="str">
        <f>Criterios!A11 &amp;"  "&amp;Criterios!B11</f>
        <v>Resumenes por Partidos Judiciales  CALATAYUD</v>
      </c>
      <c r="C4" s="436"/>
      <c r="D4" s="436"/>
      <c r="E4" s="436"/>
      <c r="F4" s="436"/>
    </row>
    <row r="5" spans="1:14" ht="15.75" customHeight="1">
      <c r="A5" s="1579" t="str">
        <f>"Año:  " &amp;Criterios!B5 &amp; "     Trimestre   " &amp;Criterios!D5 &amp; " al " &amp;Criterios!D6</f>
        <v>Año:  2022     Trimestre   1 al 4</v>
      </c>
      <c r="B5" s="1081" t="s">
        <v>160</v>
      </c>
      <c r="C5" s="1581" t="s">
        <v>173</v>
      </c>
      <c r="D5" s="1582"/>
      <c r="E5" s="1581" t="s">
        <v>126</v>
      </c>
      <c r="F5" s="1582"/>
      <c r="G5" s="1581" t="s">
        <v>14</v>
      </c>
      <c r="H5" s="1582"/>
      <c r="I5" s="1581" t="s">
        <v>174</v>
      </c>
      <c r="J5" s="1582"/>
      <c r="K5" s="1588" t="s">
        <v>1004</v>
      </c>
      <c r="L5" s="1572" t="s">
        <v>1067</v>
      </c>
      <c r="M5" s="1572" t="s">
        <v>1171</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3</v>
      </c>
      <c r="D10" s="452">
        <f>IF(ISNUMBER(C10/Datos!BH10),C10/Datos!BH10," - ")</f>
        <v>3</v>
      </c>
      <c r="E10" s="451">
        <f>IF(ISNUMBER(Datos!J10),Datos!J10," - ")</f>
        <v>5</v>
      </c>
      <c r="F10" s="452">
        <f>IF(ISNUMBER(E10/B10),E10/B10," - ")</f>
        <v>5</v>
      </c>
      <c r="G10" s="451">
        <f>IF(ISNUMBER(Datos!K10),Datos!K10," - ")</f>
        <v>5</v>
      </c>
      <c r="H10" s="452">
        <f>IF(ISNUMBER(G10/B10),G10/B10," - ")</f>
        <v>5</v>
      </c>
      <c r="I10" s="451">
        <f>IF(ISNUMBER(Datos!L10),Datos!L10," - ")</f>
        <v>3</v>
      </c>
      <c r="J10" s="452">
        <f>IF(ISNUMBER(I10/B10),I10/B10," - ")</f>
        <v>3</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2</v>
      </c>
      <c r="C12" s="451">
        <f>IF(ISNUMBER(IF(J_V="SI",Datos!I12,Datos!I12+Datos!Y12)),IF(J_V="SI",Datos!I12,Datos!I12+Datos!Y12)," - ")</f>
        <v>949</v>
      </c>
      <c r="D12" s="452">
        <f>IF(ISNUMBER(C12/Datos!BH12),C12/Datos!BH12," - ")</f>
        <v>474.5</v>
      </c>
      <c r="E12" s="451">
        <f>IF(ISNUMBER(IF(J_V="SI",Datos!J12,Datos!J12+Datos!Z12)),IF(J_V="SI",Datos!J12,Datos!J12+Datos!Z12)," - ")</f>
        <v>1209</v>
      </c>
      <c r="F12" s="452">
        <f>IF(ISNUMBER(E12/B12),E12/B12," - ")</f>
        <v>604.5</v>
      </c>
      <c r="G12" s="451">
        <f>IF(ISNUMBER(IF(J_V="SI",Datos!K12,Datos!K12+Datos!AA12)),IF(J_V="SI",Datos!K12,Datos!K12+Datos!AA12)," - ")</f>
        <v>1234</v>
      </c>
      <c r="H12" s="452">
        <f>IF(ISNUMBER(G12/B12),G12/B12," - ")</f>
        <v>617</v>
      </c>
      <c r="I12" s="451">
        <f>IF(ISNUMBER(IF(J_V="SI",Datos!L12,Datos!L12+Datos!AB12)),IF(J_V="SI",Datos!L12,Datos!L12+Datos!AB12)," - ")</f>
        <v>924</v>
      </c>
      <c r="J12" s="452">
        <f>IF(ISNUMBER(I12/B12),I12/B12," - ")</f>
        <v>462</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v>
      </c>
      <c r="C14" s="1146">
        <f>SUBTOTAL(9,C8:C13)</f>
        <v>952</v>
      </c>
      <c r="D14" s="1147" t="str">
        <f>IF(ISNUMBER(C14/Datos!BI14),C14/Datos!BI14," - ")</f>
        <v xml:space="preserve"> - </v>
      </c>
      <c r="E14" s="1146">
        <f>SUBTOTAL(9,E8:E13)</f>
        <v>1214</v>
      </c>
      <c r="F14" s="1147">
        <f>IF(ISNUMBER(E14/B14),E14/B14," - ")</f>
        <v>607</v>
      </c>
      <c r="G14" s="1146">
        <f>SUBTOTAL(9,G8:G13)</f>
        <v>1239</v>
      </c>
      <c r="H14" s="1147">
        <f>IF(ISNUMBER(G14/B14),G14/B14," - ")</f>
        <v>619.5</v>
      </c>
      <c r="I14" s="1146">
        <f>SUBTOTAL(9,I8:I13)</f>
        <v>927</v>
      </c>
      <c r="J14" s="1147">
        <f>IF(ISNUMBER(I14/B14),I14/B14," - ")</f>
        <v>463.5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2</v>
      </c>
      <c r="C17" s="451">
        <f>IF(ISNUMBER(IF(D_I="SI",Datos!I17,Datos!I17+Datos!AC17)),IF(D_I="SI",Datos!I17,Datos!I17+Datos!AC17)," - ")</f>
        <v>734</v>
      </c>
      <c r="D17" s="452">
        <f>IF(ISNUMBER(C17/Datos!BH17),C17/Datos!BH17," - ")</f>
        <v>367</v>
      </c>
      <c r="E17" s="451">
        <f>IF(ISNUMBER(IF(D_I="SI",Datos!J17,Datos!J17+Datos!AD17)),IF(D_I="SI",Datos!J17,Datos!J17+Datos!AD17)," - ")</f>
        <v>1453</v>
      </c>
      <c r="F17" s="452">
        <f>IF(ISNUMBER(E17/B17),E17/B17," - ")</f>
        <v>726.5</v>
      </c>
      <c r="G17" s="451">
        <f>IF(ISNUMBER(IF(D_I="SI",Datos!K17,Datos!K17+Datos!AE17)),IF(D_I="SI",Datos!K17,Datos!K17+Datos!AE17)," - ")</f>
        <v>1649</v>
      </c>
      <c r="H17" s="452">
        <f>IF(ISNUMBER(G17/B17),G17/B17," - ")</f>
        <v>824.5</v>
      </c>
      <c r="I17" s="451">
        <f>IF(ISNUMBER(IF(D_I="SI",Datos!L17,Datos!L17+Datos!AF17)),IF(D_I="SI",Datos!L17,Datos!L17+Datos!AF17)," - ")</f>
        <v>550</v>
      </c>
      <c r="J17" s="452">
        <f>IF(ISNUMBER(I17/B17),I17/B17," - ")</f>
        <v>275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40</v>
      </c>
      <c r="D18" s="452">
        <f>IF(ISNUMBER(C18/Datos!BH18),C18/Datos!BH18," - ")</f>
        <v>40</v>
      </c>
      <c r="E18" s="451">
        <f>IF(ISNUMBER(IF(D_I="SI",Datos!J18,Datos!J18+Datos!AD18)),IF(D_I="SI",Datos!J18,Datos!J18+Datos!AD18)," - ")</f>
        <v>101</v>
      </c>
      <c r="F18" s="452">
        <f>IF(ISNUMBER(E18/B18),E18/B18," - ")</f>
        <v>101</v>
      </c>
      <c r="G18" s="451">
        <f>IF(ISNUMBER(IF(D_I="SI",Datos!K18,Datos!K18+Datos!AE18)),IF(D_I="SI",Datos!K18,Datos!K18+Datos!AE18)," - ")</f>
        <v>79</v>
      </c>
      <c r="H18" s="452">
        <f>IF(ISNUMBER(G18/B18),G18/B18," - ")</f>
        <v>79</v>
      </c>
      <c r="I18" s="451">
        <f>IF(ISNUMBER(IF(D_I="SI",Datos!L18,Datos!L18+Datos!AF18)),IF(D_I="SI",Datos!L18,Datos!L18+Datos!AF18)," - ")</f>
        <v>62</v>
      </c>
      <c r="J18" s="452">
        <f>IF(ISNUMBER(I18/B18),I18/B18," - ")</f>
        <v>62</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v>
      </c>
      <c r="C23" s="1146">
        <f>SUBTOTAL(9,C15:C22)</f>
        <v>774</v>
      </c>
      <c r="D23" s="1147" t="str">
        <f>IF(ISNUMBER(C23/Datos!BI23),C23/Datos!BI23," - ")</f>
        <v xml:space="preserve"> - </v>
      </c>
      <c r="E23" s="1146">
        <f>SUBTOTAL(9,E15:E22)</f>
        <v>1554</v>
      </c>
      <c r="F23" s="1147">
        <f>IF(ISNUMBER(E23/B23),E23/B23," - ")</f>
        <v>777</v>
      </c>
      <c r="G23" s="1146">
        <f>SUBTOTAL(9,G15:G22)</f>
        <v>1728</v>
      </c>
      <c r="H23" s="1147">
        <f>IF(ISNUMBER(G23/B23),G23/B23," - ")</f>
        <v>864</v>
      </c>
      <c r="I23" s="1146">
        <f>SUBTOTAL(9,I15:I22)</f>
        <v>612</v>
      </c>
      <c r="J23" s="1147">
        <f>IF(ISNUMBER(I23/B23),I23/B23," - ")</f>
        <v>306</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v>
      </c>
      <c r="C31" s="1084">
        <f>SUBTOTAL(9,C9:C30)</f>
        <v>1726</v>
      </c>
      <c r="D31" s="1085" t="str">
        <f>IF(ISNUMBER(C31/Datos!BI31),C31/Datos!BI31," - ")</f>
        <v xml:space="preserve"> - </v>
      </c>
      <c r="E31" s="1084">
        <f>SUBTOTAL(9,E9:E30)</f>
        <v>2768</v>
      </c>
      <c r="F31" s="1085">
        <f>IF(ISNUMBER(E31/B31),E31/B31," - ")</f>
        <v>1384</v>
      </c>
      <c r="G31" s="1084">
        <f>SUBTOTAL(9,G9:G30)</f>
        <v>2967</v>
      </c>
      <c r="H31" s="1085">
        <f>IF(ISNUMBER(G31/B31),G31/B31," - ")</f>
        <v>1483.5</v>
      </c>
      <c r="I31" s="1084">
        <f>SUBTOTAL(9,I9:I30)</f>
        <v>1539</v>
      </c>
      <c r="J31" s="1085">
        <f>IF(ISNUMBER(I31/B31),I31/B31," - ")</f>
        <v>769.5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14 abr. 2023</v>
      </c>
    </row>
    <row r="39" spans="1:2">
      <c r="A39" s="462"/>
    </row>
  </sheetData>
  <sheetProtection algorithmName="SHA-512" hashValue="xT/aFGaJ8LNMsMBU8JEn6TQGB/QncV/vqUqTZCO9yKiZqt9AmfCfSnWKYxY2q+jy9sL0Mp4JFGVdn5nSAEQ5GQ==" saltValue="pYJ2a+j3SKyUayMYcejDo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ARAGON</v>
      </c>
      <c r="F1" s="856"/>
      <c r="W1"/>
      <c r="X1"/>
      <c r="BE1" s="856"/>
    </row>
    <row r="2" spans="1:65" ht="16.5" customHeight="1">
      <c r="C2" s="567" t="str">
        <f>Criterios!A10 &amp;"  "&amp;Criterios!B10 &amp; "  " &amp; IF(NOT(ISBLANK(Criterios!A11)),Criterios!A11 &amp;"  "&amp;Criterios!B11,"")</f>
        <v>Provincias  ZARAGOZA  Resumenes por Partidos Judiciales  CALATAYUD</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68" t="s">
        <v>465</v>
      </c>
      <c r="B5" s="297"/>
      <c r="C5" s="1668" t="str">
        <f>"Año:  " &amp;Criterios!B$5 &amp; "          Trimestre   " &amp;Criterios!D$5 &amp; " al " &amp;Criterios!D$6</f>
        <v>Año:  2022          Trimestre   1 al 4</v>
      </c>
      <c r="D5" s="1885" t="s">
        <v>546</v>
      </c>
      <c r="E5" s="1885" t="s">
        <v>757</v>
      </c>
      <c r="F5" s="1914" t="s">
        <v>527</v>
      </c>
      <c r="G5" s="1885" t="s">
        <v>173</v>
      </c>
      <c r="H5" s="1885" t="s">
        <v>906</v>
      </c>
      <c r="I5" s="1885" t="s">
        <v>907</v>
      </c>
      <c r="J5" s="1885" t="s">
        <v>910</v>
      </c>
      <c r="K5" s="1885" t="s">
        <v>911</v>
      </c>
      <c r="L5" s="1885" t="s">
        <v>788</v>
      </c>
      <c r="M5" s="1885" t="s">
        <v>932</v>
      </c>
      <c r="N5" s="1885" t="s">
        <v>912</v>
      </c>
      <c r="O5" s="1885" t="s">
        <v>908</v>
      </c>
      <c r="P5" s="1885" t="s">
        <v>229</v>
      </c>
      <c r="Q5" s="1885" t="s">
        <v>887</v>
      </c>
      <c r="R5" s="1885" t="s">
        <v>933</v>
      </c>
      <c r="S5" s="1885" t="str">
        <f>"Ingreso Computable 2003" &amp; IF(OR(EXACT(LEFT(boletin,2),"04"),EXACT(LEFT(boletin,2),"14"),EXACT(LEFT(boletin,2),"17"))," (Civil + Penal)","")</f>
        <v>Ingreso Computable 2003</v>
      </c>
      <c r="T5" s="1885" t="s">
        <v>909</v>
      </c>
      <c r="U5" s="1920" t="str">
        <f>"% Ingreso Computable 2003" &amp; IF(OR(EXACT(LEFT(boletin,2),"04"),EXACT(LEFT(boletin,2),"14"),EXACT(LEFT(boletin,2),"17"))," (Civil + Penal)","")</f>
        <v>% Ingreso Computable 2003</v>
      </c>
      <c r="V5" s="1920" t="s">
        <v>913</v>
      </c>
      <c r="W5" s="1885" t="s">
        <v>1037</v>
      </c>
      <c r="X5" s="1885" t="s">
        <v>1038</v>
      </c>
      <c r="Y5" s="1888" t="s">
        <v>878</v>
      </c>
      <c r="Z5" s="1944" t="str">
        <f>"RESOLUCION Nº  H/P" &amp; IF(OR(EXACT(LEFT(boletin,2),"04"),EXACT(LEFT(boletin,2),"14"),EXACT(LEFT(boletin,2),"17"))," (Civil + Penal)","")</f>
        <v>RESOLUCION Nº  H/P</v>
      </c>
      <c r="AA5" s="1947" t="str">
        <f>" % S/Iindicador  De  Resolución (Horas punto)" &amp; IF(OR(EXACT(LEFT(boletin,2),"04"),EXACT(LEFT(boletin,2),"14"),EXACT(LEFT(boletin,2),"17"))," (Civil + Penal)","")</f>
        <v xml:space="preserve"> % S/Iindicador  De  Resolución (Horas punto)</v>
      </c>
      <c r="AB5" s="1944" t="s">
        <v>914</v>
      </c>
      <c r="AC5" s="1944" t="s">
        <v>915</v>
      </c>
      <c r="AD5" s="1944" t="s">
        <v>916</v>
      </c>
      <c r="AE5" s="1944" t="s">
        <v>917</v>
      </c>
      <c r="AF5" s="1885" t="s">
        <v>918</v>
      </c>
      <c r="AG5" s="1885" t="s">
        <v>919</v>
      </c>
      <c r="AH5" s="1885" t="s">
        <v>920</v>
      </c>
      <c r="AI5" s="1885" t="s">
        <v>921</v>
      </c>
      <c r="AJ5" s="1885" t="s">
        <v>243</v>
      </c>
      <c r="AK5" s="1897" t="s">
        <v>723</v>
      </c>
      <c r="AL5" s="1897" t="s">
        <v>244</v>
      </c>
      <c r="AM5" s="1885" t="s">
        <v>767</v>
      </c>
      <c r="AN5" s="1885" t="s">
        <v>322</v>
      </c>
      <c r="AO5" s="1885" t="s">
        <v>323</v>
      </c>
      <c r="AP5" s="1885" t="s">
        <v>922</v>
      </c>
      <c r="AQ5" s="1885" t="s">
        <v>923</v>
      </c>
      <c r="AR5" s="1885" t="s">
        <v>924</v>
      </c>
      <c r="AS5" s="1885" t="s">
        <v>925</v>
      </c>
      <c r="AT5" s="1885" t="s">
        <v>926</v>
      </c>
      <c r="AU5" s="1885" t="s">
        <v>927</v>
      </c>
      <c r="AV5" s="1885" t="s">
        <v>928</v>
      </c>
      <c r="AW5" s="1885" t="s">
        <v>929</v>
      </c>
      <c r="AX5" s="1885" t="s">
        <v>1128</v>
      </c>
      <c r="AY5" s="1885" t="s">
        <v>1132</v>
      </c>
      <c r="AZ5" s="1885" t="s">
        <v>930</v>
      </c>
      <c r="BA5" s="1885" t="s">
        <v>931</v>
      </c>
      <c r="BB5" s="1885" t="s">
        <v>722</v>
      </c>
      <c r="BC5" s="1744" t="s">
        <v>938</v>
      </c>
      <c r="BD5" s="1744" t="s">
        <v>939</v>
      </c>
      <c r="BE5" s="1914" t="s">
        <v>940</v>
      </c>
      <c r="BF5" s="1941"/>
      <c r="BG5" s="1942"/>
      <c r="BH5" s="1941"/>
      <c r="BI5" s="1942"/>
      <c r="BJ5" s="1941"/>
      <c r="BK5" s="1942"/>
      <c r="BL5" s="1941"/>
      <c r="BM5" s="1942"/>
    </row>
    <row r="6" spans="1:65" ht="21.75" customHeight="1">
      <c r="A6" s="1936"/>
      <c r="B6" s="880"/>
      <c r="C6" s="1938"/>
      <c r="D6" s="1886"/>
      <c r="E6" s="1886"/>
      <c r="F6" s="1915"/>
      <c r="G6" s="1886"/>
      <c r="H6" s="1886"/>
      <c r="I6" s="1886"/>
      <c r="J6" s="1886"/>
      <c r="K6" s="1886"/>
      <c r="L6" s="1886"/>
      <c r="M6" s="1886"/>
      <c r="N6" s="1886"/>
      <c r="O6" s="1886"/>
      <c r="P6" s="1886"/>
      <c r="Q6" s="1886"/>
      <c r="R6" s="1886"/>
      <c r="S6" s="1886"/>
      <c r="T6" s="1886"/>
      <c r="U6" s="1921"/>
      <c r="V6" s="1921"/>
      <c r="W6" s="1886"/>
      <c r="X6" s="1886"/>
      <c r="Y6" s="1889"/>
      <c r="Z6" s="1945"/>
      <c r="AA6" s="1948"/>
      <c r="AB6" s="1945"/>
      <c r="AC6" s="1945"/>
      <c r="AD6" s="1945"/>
      <c r="AE6" s="1945"/>
      <c r="AF6" s="1886"/>
      <c r="AG6" s="1886"/>
      <c r="AH6" s="1886"/>
      <c r="AI6" s="1886"/>
      <c r="AJ6" s="1886"/>
      <c r="AK6" s="1898"/>
      <c r="AL6" s="1898"/>
      <c r="AM6" s="1886"/>
      <c r="AN6" s="1886"/>
      <c r="AO6" s="1886"/>
      <c r="AP6" s="1886"/>
      <c r="AQ6" s="1886"/>
      <c r="AR6" s="1886"/>
      <c r="AS6" s="1886"/>
      <c r="AT6" s="1886"/>
      <c r="AU6" s="1886"/>
      <c r="AV6" s="1886"/>
      <c r="AW6" s="1886"/>
      <c r="AX6" s="1886"/>
      <c r="AY6" s="1886"/>
      <c r="AZ6" s="1886"/>
      <c r="BA6" s="1886"/>
      <c r="BB6" s="1886"/>
      <c r="BC6" s="1745"/>
      <c r="BD6" s="1745"/>
      <c r="BE6" s="1915"/>
      <c r="BF6" s="1939"/>
      <c r="BG6" s="1939"/>
      <c r="BH6" s="1939"/>
      <c r="BI6" s="1939"/>
      <c r="BJ6" s="1939"/>
      <c r="BK6" s="1939"/>
      <c r="BL6" s="1939"/>
      <c r="BM6" s="1939"/>
    </row>
    <row r="7" spans="1:65" ht="38.25" customHeight="1" thickBot="1">
      <c r="A7" s="1937"/>
      <c r="B7" s="881"/>
      <c r="C7" s="882" t="str">
        <f>Datos!A7</f>
        <v>COMPETENCIAS</v>
      </c>
      <c r="D7" s="1887"/>
      <c r="E7" s="1887"/>
      <c r="F7" s="1916"/>
      <c r="G7" s="1887"/>
      <c r="H7" s="1887"/>
      <c r="I7" s="1887"/>
      <c r="J7" s="1887"/>
      <c r="K7" s="1887"/>
      <c r="L7" s="1887"/>
      <c r="M7" s="1887"/>
      <c r="N7" s="1887"/>
      <c r="O7" s="1887"/>
      <c r="P7" s="1887"/>
      <c r="Q7" s="1887"/>
      <c r="R7" s="1887"/>
      <c r="S7" s="1887"/>
      <c r="T7" s="1887"/>
      <c r="U7" s="1922"/>
      <c r="V7" s="1922"/>
      <c r="W7" s="1887"/>
      <c r="X7" s="1887"/>
      <c r="Y7" s="1890"/>
      <c r="Z7" s="1946"/>
      <c r="AA7" s="1949"/>
      <c r="AB7" s="1946"/>
      <c r="AC7" s="1946"/>
      <c r="AD7" s="1946"/>
      <c r="AE7" s="1946"/>
      <c r="AF7" s="1887"/>
      <c r="AG7" s="1887"/>
      <c r="AH7" s="1887"/>
      <c r="AI7" s="1887"/>
      <c r="AJ7" s="1887"/>
      <c r="AK7" s="1899"/>
      <c r="AL7" s="1899"/>
      <c r="AM7" s="1887"/>
      <c r="AN7" s="1887"/>
      <c r="AO7" s="1887"/>
      <c r="AP7" s="1887"/>
      <c r="AQ7" s="1887"/>
      <c r="AR7" s="1887"/>
      <c r="AS7" s="1887"/>
      <c r="AT7" s="1887"/>
      <c r="AU7" s="1887"/>
      <c r="AV7" s="1887"/>
      <c r="AW7" s="1887"/>
      <c r="AX7" s="1887"/>
      <c r="AY7" s="1887"/>
      <c r="AZ7" s="1887"/>
      <c r="BA7" s="1887"/>
      <c r="BB7" s="1887"/>
      <c r="BC7" s="1943"/>
      <c r="BD7" s="1943"/>
      <c r="BE7" s="1916"/>
      <c r="BF7" s="1940"/>
      <c r="BG7" s="1940"/>
      <c r="BH7" s="1940"/>
      <c r="BI7" s="1940"/>
      <c r="BJ7" s="1940"/>
      <c r="BK7" s="1940"/>
      <c r="BL7" s="1940"/>
      <c r="BM7" s="1940"/>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3</v>
      </c>
      <c r="G10" s="906">
        <f>IF(ISNUMBER(Datos!I10),Datos!I10," - ")</f>
        <v>3</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5</v>
      </c>
      <c r="AC10" s="905" t="str">
        <f>IF(ISNUMBER(IF(D_I="SI",DatosP!K18,DatosP!K18+DatosP!AE18)),IF(D_I="SI",DatosP!K18,DatosP!K18+DatosP!AE18)," - ")</f>
        <v xml:space="preserve"> - </v>
      </c>
      <c r="AD10" s="907"/>
      <c r="AE10" s="907"/>
      <c r="AF10" s="910">
        <f>IF(ISNUMBER(Datos!L10),Datos!L10,"-")</f>
        <v>3</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6.6</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2</v>
      </c>
      <c r="B12" s="746" t="s">
        <v>321</v>
      </c>
      <c r="C12" s="747" t="str">
        <f>Datos!A12</f>
        <v xml:space="preserve">Jdos. 1ª Instª. e Instr.                        </v>
      </c>
      <c r="D12" s="601"/>
      <c r="E12" s="904">
        <f>IF(ISNUMBER(Datos!AQ12),Datos!AQ12," - ")</f>
        <v>2</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561</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478</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1503</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268</v>
      </c>
      <c r="AM12" s="914">
        <f>IF(ISNUMBER(Datos!N12+DatosP!N17),Datos!N12+DatosP!N17," - ")</f>
        <v>425</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8.2366288492706659</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5.8450704225352111E-2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v>
      </c>
      <c r="F14" s="1256">
        <f t="shared" si="0"/>
        <v>3</v>
      </c>
      <c r="G14" s="1256">
        <f t="shared" si="0"/>
        <v>3</v>
      </c>
      <c r="H14" s="1256">
        <f t="shared" si="0"/>
        <v>0</v>
      </c>
      <c r="I14" s="1258">
        <f t="shared" si="0"/>
        <v>0</v>
      </c>
      <c r="J14" s="1257">
        <f t="shared" si="0"/>
        <v>0</v>
      </c>
      <c r="K14" s="1257">
        <f t="shared" si="0"/>
        <v>0</v>
      </c>
      <c r="L14" s="1259">
        <f t="shared" si="0"/>
        <v>0</v>
      </c>
      <c r="M14" s="1259">
        <f t="shared" si="0"/>
        <v>0</v>
      </c>
      <c r="N14" s="1257">
        <f t="shared" si="0"/>
        <v>561</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5</v>
      </c>
      <c r="AC14" s="1257">
        <f t="shared" si="1"/>
        <v>0</v>
      </c>
      <c r="AD14" s="1257">
        <f t="shared" si="1"/>
        <v>478</v>
      </c>
      <c r="AE14" s="1257">
        <f t="shared" si="1"/>
        <v>0</v>
      </c>
      <c r="AF14" s="1257">
        <f t="shared" si="1"/>
        <v>3</v>
      </c>
      <c r="AG14" s="1257">
        <f t="shared" si="1"/>
        <v>0</v>
      </c>
      <c r="AH14" s="1257">
        <f t="shared" si="1"/>
        <v>1503</v>
      </c>
      <c r="AI14" s="1257">
        <f t="shared" si="1"/>
        <v>0</v>
      </c>
      <c r="AJ14" s="1257">
        <f t="shared" si="1"/>
        <v>0</v>
      </c>
      <c r="AK14" s="1257">
        <f t="shared" si="1"/>
        <v>0</v>
      </c>
      <c r="AL14" s="1257">
        <f t="shared" si="1"/>
        <v>268</v>
      </c>
      <c r="AM14" s="1257">
        <f t="shared" si="1"/>
        <v>425</v>
      </c>
      <c r="AN14" s="1257">
        <f t="shared" si="1"/>
        <v>0</v>
      </c>
      <c r="AO14" s="1257">
        <f t="shared" si="1"/>
        <v>0</v>
      </c>
      <c r="AP14" s="1262">
        <f>IF(ISNUMBER(((Datos!L14/Datos!K14)*11)/factor_trimestre),((Datos!L14/Datos!K14)*11)/factor_trimestre," - ")</f>
        <v>7.5536480686695278</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-1.6666666666666667</v>
      </c>
      <c r="AU14" s="1257" t="str">
        <f>IF(ISNUMBER((DatosP!#REF!-DatosP!#REF!+DatosP!#REF!)/(DatosP!#REF!+DatosP!#REF!-DatosP!#REF!-DatosP!#REF!)),(DatosP!#REF!-DatosP!#REF!+DatosP!#REF!)/(DatosP!#REF!+DatosP!#REF!-DatosP!#REF!-DatosP!#REF!)," - ")</f>
        <v xml:space="preserve"> - </v>
      </c>
      <c r="AV14" s="1263">
        <f>SUBTOTAL(9,AV9:AV13)</f>
        <v>5.8450704225352111E-2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2</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3.8958333333333335</v>
      </c>
      <c r="AQ23" s="1262">
        <f>IF(ISNUMBER(((Datos!M23/Datos!L23)*11)/factor_trimestre),((Datos!M23/Datos!L23)*11)/factor_trimestre," - ")</f>
        <v>3.0196078431372553</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-0.16</v>
      </c>
      <c r="AW23" s="1265">
        <f>IF(ISNUMBER((Datos!Q23-Datos!R23)/(Datos!S23-Datos!Q23+Datos!R23)),(Datos!Q23-Datos!R23)/(Datos!S23-Datos!Q23+Datos!R23)," - ")</f>
        <v>-3.1165311653116531E-2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v>
      </c>
      <c r="F31" s="1278">
        <f t="shared" si="8"/>
        <v>3</v>
      </c>
      <c r="G31" s="1278">
        <f t="shared" si="8"/>
        <v>3</v>
      </c>
      <c r="H31" s="1278">
        <f t="shared" si="8"/>
        <v>0</v>
      </c>
      <c r="I31" s="1279">
        <f t="shared" si="8"/>
        <v>0</v>
      </c>
      <c r="J31" s="1280">
        <f t="shared" si="8"/>
        <v>0</v>
      </c>
      <c r="K31" s="1280">
        <f t="shared" si="8"/>
        <v>0</v>
      </c>
      <c r="L31" s="1280">
        <f t="shared" si="8"/>
        <v>0</v>
      </c>
      <c r="M31" s="1280">
        <f t="shared" si="8"/>
        <v>0</v>
      </c>
      <c r="N31" s="1279">
        <f t="shared" si="8"/>
        <v>561</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5</v>
      </c>
      <c r="AC31" s="1284">
        <f t="shared" si="9"/>
        <v>0</v>
      </c>
      <c r="AD31" s="1284">
        <f t="shared" si="9"/>
        <v>478</v>
      </c>
      <c r="AE31" s="1284">
        <f t="shared" si="9"/>
        <v>0</v>
      </c>
      <c r="AF31" s="1285">
        <f t="shared" si="9"/>
        <v>3</v>
      </c>
      <c r="AG31" s="1285">
        <f t="shared" si="9"/>
        <v>0</v>
      </c>
      <c r="AH31" s="1285">
        <f t="shared" si="9"/>
        <v>1503</v>
      </c>
      <c r="AI31" s="1285">
        <f t="shared" si="9"/>
        <v>0</v>
      </c>
      <c r="AJ31" s="1286">
        <f t="shared" si="9"/>
        <v>0</v>
      </c>
      <c r="AK31" s="1286">
        <f t="shared" si="9"/>
        <v>0</v>
      </c>
      <c r="AL31" s="1278">
        <f t="shared" si="9"/>
        <v>268</v>
      </c>
      <c r="AM31" s="1278">
        <f t="shared" si="9"/>
        <v>425</v>
      </c>
      <c r="AN31" s="1278">
        <f t="shared" si="9"/>
        <v>0</v>
      </c>
      <c r="AO31" s="1278">
        <f t="shared" si="9"/>
        <v>0</v>
      </c>
      <c r="AP31" s="1278">
        <f>IF(ISNUMBER(((Datos!L31/Datos!K31)*11)/factor_trimestre),((Datos!L31/Datos!K31)*11)/factor_trimestre," - ")</f>
        <v>5.3688212927756656</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-1.6666666666666667</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4.749163879598662E-2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1.2</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0.88191710368819687</v>
      </c>
      <c r="F33" s="1006">
        <f>IF(ISNUMBER(STDEV(F8:F30)),STDEV(F8:F30),"-")</f>
        <v>1.6431676725154984</v>
      </c>
      <c r="G33" s="1007">
        <f>IF(ISNUMBER(STDEV(G8:G30)),STDEV(G8:G30),"-")</f>
        <v>1.6431676725154984</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2.7386127875258306</v>
      </c>
      <c r="AC33" s="1008">
        <f>IF(ISNUMBER(STDEV(AC8:AC30)),STDEV(AC8:AC30),"-")</f>
        <v>0</v>
      </c>
      <c r="AD33" s="1011"/>
      <c r="AE33" s="1011"/>
      <c r="AF33" s="1011"/>
      <c r="AG33" s="1011"/>
      <c r="AH33" s="1011"/>
      <c r="AI33" s="1011"/>
      <c r="AJ33" s="1012">
        <f>IF(ISNUMBER(STDEV(AJ8:AJ30)),STDEV(AJ8:AJ30),"-")</f>
        <v>0</v>
      </c>
      <c r="AK33" s="1014"/>
      <c r="AL33" s="1006">
        <f>IF(ISNUMBER(STDEV(AL8:AL30)),STDEV(AL8:AL30),"-")</f>
        <v>138.39460490447837</v>
      </c>
      <c r="AM33" s="1006"/>
      <c r="AN33" s="1006">
        <f>IF(ISNUMBER(STDEV(AN8:AN30)),STDEV(AN8:AN30),"-")</f>
        <v>0</v>
      </c>
      <c r="AO33" s="1012">
        <f>IF(ISNUMBER(STDEV(AO8:AO30)),STDEV(AO8:AO30),"-")</f>
        <v>0</v>
      </c>
      <c r="AP33" s="1065">
        <f>IF(ISNUMBER(STDEV(AP8:AP30)),STDEV(AP8:AP30),"-")</f>
        <v>1.9058920283808554</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14 abr. 2023</v>
      </c>
      <c r="W42"/>
      <c r="X42"/>
    </row>
    <row r="44" spans="1:57">
      <c r="C44" s="1048"/>
      <c r="D44" s="1049"/>
      <c r="W44"/>
      <c r="X44"/>
    </row>
  </sheetData>
  <sheetProtection algorithmName="SHA-512" hashValue="XYpCHy/kuRyvw/FxamSQMgAt1RDJHbwKHlca/N3pjKjmIxfS2EMDv9R0ZcwNvi8NNir5ubNtrG3e3pulKqJWjA==" saltValue="qIF/fco/dESpPkiYo5j4u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ARAGON</v>
      </c>
      <c r="C2" s="436"/>
      <c r="E2" s="436"/>
      <c r="F2" s="436"/>
      <c r="G2" s="436"/>
      <c r="H2" s="436"/>
    </row>
    <row r="3" spans="1:15" ht="39">
      <c r="A3" s="463" t="s">
        <v>280</v>
      </c>
      <c r="B3" s="439" t="str">
        <f>Criterios!A10 &amp;"  "&amp;Criterios!B10</f>
        <v>Provincias  ZARAGOZA</v>
      </c>
      <c r="C3" s="463"/>
      <c r="F3" s="436"/>
      <c r="G3" s="436"/>
      <c r="H3" s="436"/>
    </row>
    <row r="4" spans="1:15" ht="13.5" thickBot="1">
      <c r="A4" s="436"/>
      <c r="B4" s="439" t="str">
        <f>Criterios!A11 &amp;"  "&amp;Criterios!B11</f>
        <v>Resumenes por Partidos Judiciales  CALATAYUD</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2</v>
      </c>
      <c r="D12" s="451">
        <f>Datos!BK12</f>
        <v>0</v>
      </c>
      <c r="E12" s="451">
        <f>Datos!AQ12</f>
        <v>2</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2</v>
      </c>
      <c r="D17" s="451">
        <f>Datos!BK17</f>
        <v>0</v>
      </c>
      <c r="E17" s="451">
        <f>Datos!AQ17</f>
        <v>2</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14 abr. 2023</v>
      </c>
      <c r="B35" s="439"/>
      <c r="C35" s="439"/>
    </row>
    <row r="39" spans="1:4">
      <c r="A39" s="462"/>
      <c r="B39" s="462"/>
      <c r="C39" s="462"/>
    </row>
  </sheetData>
  <sheetProtection algorithmName="SHA-512" hashValue="jGyu78ykuWZTWihswqCSfjiB7LsIJBhvSQMB2mzyaodTvWyDFDmnbQ9xw19voJ37OulVNRwDJzMMkE2Nzdx61w==" saltValue="I1bV92sn7YO6Al0vEXqxfw=="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ARAGON</v>
      </c>
      <c r="C2" s="475"/>
      <c r="D2" s="418"/>
    </row>
    <row r="3" spans="1:9" ht="19.5">
      <c r="A3" s="476" t="s">
        <v>16</v>
      </c>
      <c r="B3" s="477" t="str">
        <f>Criterios!A10 &amp;"  "&amp;Criterios!B10</f>
        <v>Provincias  ZARAGOZA</v>
      </c>
      <c r="C3" s="475"/>
      <c r="D3" s="476"/>
    </row>
    <row r="4" spans="1:9" ht="13.5" thickBot="1">
      <c r="B4" s="477" t="str">
        <f>Criterios!A11 &amp;"  "&amp;Criterios!B11</f>
        <v>Resumenes por Partidos Judiciales  CALATAYUD</v>
      </c>
    </row>
    <row r="5" spans="1:9" ht="15.75" customHeight="1">
      <c r="A5" s="1591" t="str">
        <f>"Año:  " &amp;Criterios!B5 &amp; "                  Trimestre   " &amp;Criterios!D5 &amp; " al " &amp;Criterios!D6</f>
        <v>Año:  2022                  Trimestre   1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2</v>
      </c>
      <c r="C12" s="458">
        <f>Datos!AQ12</f>
        <v>2</v>
      </c>
      <c r="D12" s="451">
        <f>IF(ISNUMBER(Datos!M12),Datos!M12," - ")</f>
        <v>268</v>
      </c>
      <c r="E12" s="452">
        <f t="shared" si="0"/>
        <v>134</v>
      </c>
      <c r="F12" s="451">
        <f>IF(ISNUMBER(Datos!N12),Datos!N12," - ")</f>
        <v>425</v>
      </c>
      <c r="G12" s="452">
        <f t="shared" si="1"/>
        <v>212.5</v>
      </c>
      <c r="H12" s="451">
        <f>IF(ISNUMBER(Datos!O12),Datos!O12," - ")</f>
        <v>641</v>
      </c>
      <c r="I12" s="452">
        <f t="shared" si="2"/>
        <v>320.5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v>
      </c>
      <c r="C14" s="1148">
        <f>Datos!AR14</f>
        <v>2</v>
      </c>
      <c r="D14" s="1146">
        <f>SUBTOTAL(9,D9:D13)</f>
        <v>268</v>
      </c>
      <c r="E14" s="1147">
        <f t="shared" si="0"/>
        <v>89.333333333333329</v>
      </c>
      <c r="F14" s="1146">
        <f>SUBTOTAL(9,F9:F13)</f>
        <v>425</v>
      </c>
      <c r="G14" s="1147">
        <f t="shared" si="1"/>
        <v>141.66666666666666</v>
      </c>
      <c r="H14" s="1146">
        <f>SUBTOTAL(9,H9:H13)</f>
        <v>641</v>
      </c>
      <c r="I14" s="1147">
        <f>IF(ISNUMBER(H14/B14),H14/B14," - ")</f>
        <v>213.66666666666666</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2</v>
      </c>
      <c r="C17" s="481">
        <f>Datos!AQ17</f>
        <v>2</v>
      </c>
      <c r="D17" s="451">
        <f>IF(ISNUMBER(Datos!M17),Datos!M17," - ")</f>
        <v>158</v>
      </c>
      <c r="E17" s="452">
        <f t="shared" si="3"/>
        <v>79</v>
      </c>
      <c r="F17" s="451">
        <f>IF(ISNUMBER(Datos!N17),Datos!N17," - ")</f>
        <v>1193</v>
      </c>
      <c r="G17" s="452">
        <f t="shared" si="4"/>
        <v>596.5</v>
      </c>
      <c r="H17" s="451">
        <f>IF(ISNUMBER(Datos!O17),Datos!O17," - ")</f>
        <v>11</v>
      </c>
      <c r="I17" s="452">
        <f t="shared" si="5"/>
        <v>5.5</v>
      </c>
    </row>
    <row r="18" spans="1:9">
      <c r="A18" s="450" t="str">
        <f>Datos!A18</f>
        <v>Jdos. Violencia contra la mujer</v>
      </c>
      <c r="B18" s="480">
        <f>Datos!AO18</f>
        <v>1</v>
      </c>
      <c r="C18" s="481">
        <f>Datos!AQ18</f>
        <v>0</v>
      </c>
      <c r="D18" s="451">
        <f>IF(ISNUMBER(Datos!M18),Datos!M18," - ")</f>
        <v>10</v>
      </c>
      <c r="E18" s="452">
        <f>IF(ISNUMBER(D18/B18),D18/B18," - ")</f>
        <v>10</v>
      </c>
      <c r="F18" s="451">
        <f>IF(ISNUMBER(Datos!N18),Datos!N18," - ")</f>
        <v>76</v>
      </c>
      <c r="G18" s="452">
        <f>IF(ISNUMBER(F18/B18),F18/B18," - ")</f>
        <v>76</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v>
      </c>
      <c r="C23" s="1148">
        <f>Datos!AR23</f>
        <v>2</v>
      </c>
      <c r="D23" s="1146">
        <f>SUBTOTAL(9,D16:D22)</f>
        <v>168</v>
      </c>
      <c r="E23" s="1147">
        <f t="shared" si="3"/>
        <v>56</v>
      </c>
      <c r="F23" s="1146">
        <f>SUBTOTAL(9,F16:F22)</f>
        <v>1269</v>
      </c>
      <c r="G23" s="1147">
        <f t="shared" si="4"/>
        <v>423</v>
      </c>
      <c r="H23" s="1146">
        <f>SUBTOTAL(9,H16:H22)</f>
        <v>11</v>
      </c>
      <c r="I23" s="1147">
        <f>IF(ISNUMBER(H23/B23),H23/B23," - ")</f>
        <v>3.6666666666666665</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v>
      </c>
      <c r="C31" s="1084">
        <f>Datos!AR31</f>
        <v>2</v>
      </c>
      <c r="D31" s="1084">
        <f>SUBTOTAL(9,D8:D30)</f>
        <v>436</v>
      </c>
      <c r="E31" s="1085">
        <f>IF(ISNUMBER(D31/B31),D31/B31," - ")</f>
        <v>218</v>
      </c>
      <c r="F31" s="1084">
        <f>SUBTOTAL(9,F8:F30)</f>
        <v>1694</v>
      </c>
      <c r="G31" s="1085">
        <f>IF(ISNUMBER(F31/B31),F31/B31," - ")</f>
        <v>847</v>
      </c>
      <c r="H31" s="1084">
        <f>SUBTOTAL(9,H8:H30)</f>
        <v>652</v>
      </c>
      <c r="I31" s="1085">
        <f>IF(ISNUMBER(H31/B31),H31/B31," - ")</f>
        <v>326</v>
      </c>
    </row>
    <row r="34" spans="1:1">
      <c r="A34" s="439" t="str">
        <f>Criterios!A4</f>
        <v>Fecha Informe: 14 abr. 2023</v>
      </c>
    </row>
    <row r="39" spans="1:1">
      <c r="A39" s="462"/>
    </row>
  </sheetData>
  <sheetProtection algorithmName="SHA-512" hashValue="OAs8rHwZ/NF4+GCVFRc9uhuSCUYVAaDu74HhF6mRd/0uCG2zJ2/xqk/sHvL44ylkDIENKkXi4MAkAGAXNJ2Trw==" saltValue="5LOn+nkehB+lQM3nblrdU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ARAGON</v>
      </c>
    </row>
    <row r="3" spans="1:4" ht="19.5">
      <c r="A3" s="484" t="s">
        <v>48</v>
      </c>
      <c r="B3" s="439" t="str">
        <f>Criterios!A10 &amp;"  "&amp;Criterios!B10</f>
        <v>Provincias  ZARAGOZA</v>
      </c>
    </row>
    <row r="4" spans="1:4" ht="13.5" thickBot="1">
      <c r="B4" s="439" t="str">
        <f>Criterios!A11 &amp;"  "&amp;Criterios!B11</f>
        <v>Resumenes por Partidos Judiciales  CALATAYUD</v>
      </c>
    </row>
    <row r="5" spans="1:4" ht="12.75" customHeight="1">
      <c r="A5" s="1591" t="str">
        <f>"Año:  " &amp;Criterios!B5 &amp; "                  Trimestre   " &amp;Criterios!D5 &amp; " al " &amp;Criterios!D6</f>
        <v>Año:  2022                  Trimestre   1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561</v>
      </c>
      <c r="C12" s="489">
        <f>IF(ISNUMBER(Datos!Q12),Datos!Q12," - ")</f>
        <v>478</v>
      </c>
      <c r="D12" s="456">
        <f>IF(ISNUMBER(Datos!R12),Datos!R12," - ")</f>
        <v>1503</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561</v>
      </c>
      <c r="C14" s="1150">
        <f>SUBTOTAL(9,C9:C13)</f>
        <v>478</v>
      </c>
      <c r="D14" s="1148">
        <f>SUBTOTAL(9,D9:D13)</f>
        <v>1503</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27</v>
      </c>
      <c r="C17" s="489">
        <f>IF(ISNUMBER(Datos!Q17),Datos!Q17," - ")</f>
        <v>40</v>
      </c>
      <c r="D17" s="456">
        <f>IF(ISNUMBER(Datos!R17),Datos!R17," - ")</f>
        <v>62</v>
      </c>
    </row>
    <row r="18" spans="1:4">
      <c r="A18" s="450" t="str">
        <f>Datos!A18</f>
        <v>Jdos. Violencia contra la mujer</v>
      </c>
      <c r="B18" s="488">
        <f>IF(ISNUMBER(Datos!P18),Datos!P18," - ")</f>
        <v>1</v>
      </c>
      <c r="C18" s="489">
        <f>IF(ISNUMBER(Datos!Q18),Datos!Q18," - ")</f>
        <v>0</v>
      </c>
      <c r="D18" s="456">
        <f>IF(ISNUMBER(Datos!R18),Datos!R18," - ")</f>
        <v>1</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28</v>
      </c>
      <c r="C23" s="1150">
        <f>SUBTOTAL(9,C16:C22)</f>
        <v>40</v>
      </c>
      <c r="D23" s="1148">
        <f>SUBTOTAL(9,D16:D22)</f>
        <v>63</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589</v>
      </c>
      <c r="C31" s="1089">
        <f>SUBTOTAL(9,C8:C30)</f>
        <v>518</v>
      </c>
      <c r="D31" s="1090">
        <f>SUBTOTAL(9,D8:D30)</f>
        <v>1566</v>
      </c>
    </row>
    <row r="32" spans="1:4" ht="7.5" customHeight="1"/>
    <row r="33" spans="1:1" ht="6" customHeight="1"/>
    <row r="34" spans="1:1">
      <c r="A34" s="439" t="str">
        <f>Criterios!A4</f>
        <v>Fecha Informe: 14 abr. 2023</v>
      </c>
    </row>
    <row r="39" spans="1:1">
      <c r="A39" s="462"/>
    </row>
  </sheetData>
  <sheetProtection algorithmName="SHA-512" hashValue="oZu/EdhY0XtCVbXmJDfeZkArkwTjo/Z2tm97x1DUplpZ+TkuQWH/50vGzMIdfisnGCKJcAFX4UKxatW6BzG2Ig==" saltValue="8MnTVp9z/yHMiRsaYolME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ARAGON</v>
      </c>
    </row>
    <row r="3" spans="1:11" ht="18.75" customHeight="1">
      <c r="A3" s="484" t="s">
        <v>162</v>
      </c>
      <c r="B3" s="439" t="str">
        <f>Criterios!A10 &amp;"  "&amp;Criterios!B10</f>
        <v>Provincias  ZARAGOZA</v>
      </c>
    </row>
    <row r="4" spans="1:11" ht="10.5" customHeight="1" thickBot="1">
      <c r="B4" s="439" t="str">
        <f>Criterios!A11 &amp;"  "&amp;Criterios!B11</f>
        <v>Resumenes por Partidos Judiciales  CALATAYUD</v>
      </c>
    </row>
    <row r="5" spans="1:11" ht="12.75" customHeight="1">
      <c r="A5" s="1591" t="str">
        <f>"Año:  " &amp;Criterios!B5 &amp; "    Trimestre   " &amp;Criterios!D5 &amp; " al " &amp;Criterios!D6</f>
        <v>Año:  2022    Trimestre   1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v>
      </c>
      <c r="C10" s="515">
        <f>IF(ISNUMBER((Datos!J10-Datos!T10)/Datos!T10),(Datos!J10-Datos!T10)/Datos!T10," - ")</f>
        <v>0.66666666666666663</v>
      </c>
      <c r="D10" s="515">
        <f>IF(ISNUMBER((Datos!K10-Datos!U10)/Datos!U10),(Datos!K10-Datos!U10)/Datos!U10," - ")</f>
        <v>0.66666666666666663</v>
      </c>
      <c r="E10" s="515">
        <f>IF(ISNUMBER((Datos!L10-Datos!V10)/Datos!V10),(Datos!L10-Datos!V10)/Datos!V10," - ")</f>
        <v>0</v>
      </c>
      <c r="F10" s="515" t="str">
        <f>IF(ISNUMBER((Datos!M10-Datos!W10)/Datos!W10),(Datos!M10-Datos!W10)/Datos!W10," - ")</f>
        <v xml:space="preserve"> - </v>
      </c>
      <c r="G10" s="516" t="str">
        <f>IF(ISNUMBER((Datos!N10-Datos!X10)/Datos!X10),(Datos!N10-Datos!X10)/Datos!X10," - ")</f>
        <v xml:space="preserve"> - </v>
      </c>
      <c r="H10" s="514">
        <f>IF(ISNUMBER(((NºAsuntos!G10/NºAsuntos!E10)-Datos!BD10)/Datos!BD10),((NºAsuntos!G10/NºAsuntos!E10)-Datos!BD10)/Datos!BD10," - ")</f>
        <v>0</v>
      </c>
      <c r="I10" s="515">
        <f>IF(ISNUMBER(((NºAsuntos!I10/NºAsuntos!G10)-Datos!BE10)/Datos!BE10),((NºAsuntos!I10/NºAsuntos!G10)-Datos!BE10)/Datos!BE10," - ")</f>
        <v>-0.4</v>
      </c>
      <c r="J10" s="521" t="str">
        <f>IF(ISNUMBER((('Resol  Asuntos'!D10/NºAsuntos!G10)-Datos!BF10)/Datos!BF10),(('Resol  Asuntos'!D10/NºAsuntos!G10)-Datos!BF10)/Datos!BF10," - ")</f>
        <v xml:space="preserve"> - </v>
      </c>
      <c r="K10" s="522">
        <f>IF(ISNUMBER((((NºAsuntos!C10+NºAsuntos!E10)/NºAsuntos!G10)-Datos!BG10)/Datos!BG10),(((NºAsuntos!C10+NºAsuntos!E10)/NºAsuntos!G10)-Datos!BG10)/Datos!BG10," - ")</f>
        <v>-0.19999999999999996</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0.29115646258503403</v>
      </c>
      <c r="C12" s="515">
        <f>IF(ISNUMBER(
   IF(J_V="SI",(Datos!J12-Datos!T12)/Datos!T12,(Datos!J12+Datos!Z12-(Datos!T12+Datos!AH12))/(Datos!T12+Datos!AH12))
     ),IF(J_V="SI",(Datos!J12-Datos!T12)/Datos!T12,(Datos!J12+Datos!Z12-(Datos!T12+Datos!AH12))/(Datos!T12+Datos!AH12))," - ")</f>
        <v>-2.6570048309178744E-2</v>
      </c>
      <c r="D12" s="515">
        <f>IF(ISNUMBER(
   IF(J_V="SI",(Datos!K12-Datos!U12)/Datos!U12,(Datos!K12+Datos!AA12-(Datos!U12+Datos!AI12))/(Datos!U12+Datos!AI12))
     ),IF(J_V="SI",(Datos!K12-Datos!U12)/Datos!U12,(Datos!K12+Datos!AA12-(Datos!U12+Datos!AI12))/(Datos!U12+Datos!AI12))," - ")</f>
        <v>-7.4268567141785452E-2</v>
      </c>
      <c r="E12" s="515">
        <f>IF(ISNUMBER(
   IF(J_V="SI",(Datos!L12-Datos!V12)/Datos!V12,(Datos!L12+Datos!AB12-(Datos!V12+Datos!AJ12))/(Datos!V12+Datos!AJ12))
     ),IF(J_V="SI",(Datos!L12-Datos!V12)/Datos!V12,(Datos!L12+Datos!AB12-(Datos!V12+Datos!AJ12))/(Datos!V12+Datos!AJ12))," - ")</f>
        <v>-2.6343519494204427E-2</v>
      </c>
      <c r="F12" s="515">
        <f>IF(ISNUMBER((Datos!M12-Datos!W12)/Datos!W12),(Datos!M12-Datos!W12)/Datos!W12," - ")</f>
        <v>0.25233644859813081</v>
      </c>
      <c r="G12" s="516">
        <f>IF(ISNUMBER((Datos!N12-Datos!X12)/Datos!X12),(Datos!N12-Datos!X12)/Datos!X12," - ")</f>
        <v>0.43097643097643096</v>
      </c>
      <c r="H12" s="514">
        <f>IF(ISNUMBER(((NºAsuntos!G12/NºAsuntos!E12)-Datos!BD12)/Datos!BD12),((NºAsuntos!G12/NºAsuntos!E12)-Datos!BD12)/Datos!BD12," - ")</f>
        <v>-4.9000463515382578E-2</v>
      </c>
      <c r="I12" s="515">
        <f>IF(ISNUMBER(((NºAsuntos!I12/NºAsuntos!G12)-Datos!BE12)/Datos!BE12),((NºAsuntos!I12/NºAsuntos!G12)-Datos!BE12)/Datos!BE12," - ")</f>
        <v>5.1769925862419401E-2</v>
      </c>
      <c r="J12" s="521">
        <f>IF(ISNUMBER((('Resol  Asuntos'!D12/NºAsuntos!G12)-Datos!BF12)/Datos!BF12),(('Resol  Asuntos'!D12/NºAsuntos!G12)-Datos!BF12)/Datos!BF12," - ")</f>
        <v>-2.5249796724675172E-2</v>
      </c>
      <c r="K12" s="522">
        <f>IF(ISNUMBER((((NºAsuntos!C12+NºAsuntos!E12)/NºAsuntos!G12)-Datos!BG12)/Datos!BG12),(((NºAsuntos!C12+NºAsuntos!E12)/NºAsuntos!G12)-Datos!BG12)/Datos!BG12," - ")</f>
        <v>0.17912476461478807</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0.28997289972899731</v>
      </c>
      <c r="C14" s="1152">
        <f>IF(ISNUMBER(
   IF(J_V="SI",(Datos!J14-Datos!T14)/Datos!T14,(Datos!J14+Datos!Z14-(Datos!T14+Datos!AH14))/(Datos!T14+Datos!AH14))
     ),IF(J_V="SI",(Datos!J14-Datos!T14)/Datos!T14,(Datos!J14+Datos!Z14-(Datos!T14+Datos!AH14))/(Datos!T14+Datos!AH14))," - ")</f>
        <v>-2.4899598393574297E-2</v>
      </c>
      <c r="D14" s="1152">
        <f>IF(ISNUMBER(
   IF(J_V="SI",(Datos!K14-Datos!U14)/Datos!U14,(Datos!K14+Datos!AA14-(Datos!U14+Datos!AI14))/(Datos!U14+Datos!AI14))
     ),IF(J_V="SI",(Datos!K14-Datos!U14)/Datos!U14,(Datos!K14+Datos!AA14-(Datos!U14+Datos!AI14))/(Datos!U14+Datos!AI14))," - ")</f>
        <v>-7.260479041916168E-2</v>
      </c>
      <c r="E14" s="1152">
        <f>IF(ISNUMBER(
   IF(J_V="SI",(Datos!L14-Datos!V14)/Datos!V14,(Datos!L14+Datos!AB14-(Datos!V14+Datos!AJ14))/(Datos!V14+Datos!AJ14))
     ),IF(J_V="SI",(Datos!L14-Datos!V14)/Datos!V14,(Datos!L14+Datos!AB14-(Datos!V14+Datos!AJ14))/(Datos!V14+Datos!AJ14))," - ")</f>
        <v>-2.6260504201680673E-2</v>
      </c>
      <c r="F14" s="1153">
        <f>IF(ISNUMBER((Datos!M14-Datos!W14)/Datos!W14),(Datos!M14-Datos!W14)/Datos!W14," - ")</f>
        <v>0.25233644859813081</v>
      </c>
      <c r="G14" s="1154">
        <f>IF(ISNUMBER((Datos!N14-Datos!X14)/Datos!X14),(Datos!N14-Datos!X14)/Datos!X14," - ")</f>
        <v>0.43097643097643096</v>
      </c>
      <c r="H14" s="1154">
        <f>IF(ISNUMBER(((NºAsuntos!G14/NºAsuntos!E14)-Datos!BD14)/Datos!BD14),((NºAsuntos!G14/NºAsuntos!E14)-Datos!BD14)/Datos!BD14," - ")</f>
        <v>-4.8923364144857026E-2</v>
      </c>
      <c r="I14" s="1154">
        <f>IF(ISNUMBER(((NºAsuntos!I14/NºAsuntos!G14)-Datos!BE14)/Datos!BE14),((NºAsuntos!I14/NºAsuntos!G14)-Datos!BE14)/Datos!BE14," - ")</f>
        <v>4.9972531385435649E-2</v>
      </c>
      <c r="J14" s="1154">
        <f>IF(ISNUMBER((('Resol  Asuntos'!D14/NºAsuntos!G14)-Datos!BF14)/Datos!BF14),(('Resol  Asuntos'!D14/NºAsuntos!G14)-Datos!BF14)/Datos!BF14," - ")</f>
        <v>-2.6998529823388497E-2</v>
      </c>
      <c r="K14" s="1154">
        <f>IF(ISNUMBER((((NºAsuntos!C14+NºAsuntos!E14)/NºAsuntos!G14)-Datos!BG14)/Datos!BG14),(((NºAsuntos!C14+NºAsuntos!E14)/NºAsuntos!G14)-Datos!BG14)/Datos!BG14," - ")</f>
        <v>0.17779820972210528</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0.10708898944193061</v>
      </c>
      <c r="C17" s="515">
        <f>IF(ISNUMBER(
   IF(D_I="SI",(Datos!J17-Datos!T17)/Datos!T17,(Datos!J17+Datos!AD17-(Datos!T17+Datos!AL17))/(Datos!T17+Datos!AL17))
     ),IF(D_I="SI",(Datos!J17-Datos!T17)/Datos!T17,(Datos!J17+Datos!AD17-(Datos!T17+Datos!AL17))/(Datos!T17+Datos!AL17))," - ")</f>
        <v>0.19293924466338258</v>
      </c>
      <c r="D17" s="515">
        <f>IF(ISNUMBER(
   IF(D_I="SI",(Datos!K17-Datos!U17)/Datos!U17,(Datos!K17+Datos!AE17-(Datos!U17+Datos!AM17))/(Datos!U17+Datos!AM17))
     ),IF(D_I="SI",(Datos!K17-Datos!U17)/Datos!U17,(Datos!K17+Datos!AE17-(Datos!U17+Datos!AM17))/(Datos!U17+Datos!AM17))," - ")</f>
        <v>0.34832379394930496</v>
      </c>
      <c r="E17" s="515">
        <f>IF(ISNUMBER(
   IF(D_I="SI",(Datos!L17-Datos!V17)/Datos!V17,(Datos!L17+Datos!AF17-(Datos!V17+Datos!AN17))/(Datos!V17+Datos!AN17))
     ),IF(D_I="SI",(Datos!L17-Datos!V17)/Datos!V17,(Datos!L17+Datos!AF17-(Datos!V17+Datos!AN17))/(Datos!V17+Datos!AN17))," - ")</f>
        <v>-0.25068119891008173</v>
      </c>
      <c r="F17" s="515">
        <f>IF(ISNUMBER((Datos!M17-Datos!W17)/Datos!W17),(Datos!M17-Datos!W17)/Datos!W17," - ")</f>
        <v>0.2153846153846154</v>
      </c>
      <c r="G17" s="516">
        <f>IF(ISNUMBER((Datos!N17-Datos!X17)/Datos!X17),(Datos!N17-Datos!X17)/Datos!X17," - ")</f>
        <v>0.53737113402061853</v>
      </c>
      <c r="H17" s="514">
        <f>IF(ISNUMBER(((NºAsuntos!G17/NºAsuntos!E17)-Datos!BD17)/Datos!BD17),((NºAsuntos!G17/NºAsuntos!E17)-Datos!BD17)/Datos!BD17," - ")</f>
        <v>0.1302535313353432</v>
      </c>
      <c r="I17" s="515">
        <f>IF(ISNUMBER(((NºAsuntos!I17/NºAsuntos!G17)-Datos!BE17)/Datos!BE17),((NºAsuntos!I17/NºAsuntos!G17)-Datos!BE17)/Datos!BE17," - ")</f>
        <v>-0.4442590092583566</v>
      </c>
      <c r="J17" s="521">
        <f>IF(ISNUMBER((('Resol  Asuntos'!D17/NºAsuntos!G17)-Datos!BF17)/Datos!BF17),(('Resol  Asuntos'!D17/NºAsuntos!G17)-Datos!BF17)/Datos!BF17," - ")</f>
        <v>-9.8595885618323359E-2</v>
      </c>
      <c r="K17" s="522">
        <f>IF(ISNUMBER((((NºAsuntos!C17+NºAsuntos!E17)/NºAsuntos!G17)-Datos!BG17)/Datos!BG17),(((NºAsuntos!C17+NºAsuntos!E17)/NºAsuntos!G17)-Datos!BG17)/Datos!BG17," - ")</f>
        <v>-0.13768530151665068</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-0.23076923076923078</v>
      </c>
      <c r="C18" s="515">
        <f>IF(ISNUMBER(
   IF(D_I="SI",(Datos!J18-Datos!T18)/Datos!T18,(Datos!J18+Datos!AD18-(Datos!T18+Datos!AL18))/(Datos!T18+Datos!AL18))
     ),IF(D_I="SI",(Datos!J18-Datos!T18)/Datos!T18,(Datos!J18+Datos!AD18-(Datos!T18+Datos!AL18))/(Datos!T18+Datos!AL18))," - ")</f>
        <v>1.1041666666666667</v>
      </c>
      <c r="D18" s="515">
        <f>IF(ISNUMBER(
   IF(D_I="SI",(Datos!K18-Datos!U18)/Datos!U18,(Datos!K18+Datos!AE18-(Datos!U18+Datos!AM18))/(Datos!U18+Datos!AM18))
     ),IF(D_I="SI",(Datos!K18-Datos!U18)/Datos!U18,(Datos!K18+Datos!AE18-(Datos!U18+Datos!AM18))/(Datos!U18+Datos!AM18))," - ")</f>
        <v>1.46875</v>
      </c>
      <c r="E18" s="515">
        <f>IF(ISNUMBER(
   IF(D_I="SI",(Datos!L18-Datos!V18)/Datos!V18,(Datos!L18+Datos!AF18-(Datos!V18+Datos!AN18))/(Datos!V18+Datos!AN18))
     ),IF(D_I="SI",(Datos!L18-Datos!V18)/Datos!V18,(Datos!L18+Datos!AF18-(Datos!V18+Datos!AN18))/(Datos!V18+Datos!AN18))," - ")</f>
        <v>0.55000000000000004</v>
      </c>
      <c r="F18" s="515">
        <f>IF(ISNUMBER((Datos!M18-Datos!W18)/Datos!W18),(Datos!M18-Datos!W18)/Datos!W18," - ")</f>
        <v>1</v>
      </c>
      <c r="G18" s="516">
        <f>IF(ISNUMBER((Datos!N18-Datos!X18)/Datos!X18),(Datos!N18-Datos!X18)/Datos!X18," - ")</f>
        <v>1.2352941176470589</v>
      </c>
      <c r="H18" s="514">
        <f>IF(ISNUMBER(((NºAsuntos!G18/NºAsuntos!E18)-Datos!BD18)/Datos!BD18),((NºAsuntos!G18/NºAsuntos!E18)-Datos!BD18)/Datos!BD18," - ")</f>
        <v>0.17326732673267337</v>
      </c>
      <c r="I18" s="515">
        <f>IF(ISNUMBER(((NºAsuntos!I18/NºAsuntos!G18)-Datos!BE18)/Datos!BE18),((NºAsuntos!I18/NºAsuntos!G18)-Datos!BE18)/Datos!BE18," - ")</f>
        <v>-0.37215189873417726</v>
      </c>
      <c r="J18" s="521">
        <f>IF(ISNUMBER((('Resol  Asuntos'!D18/NºAsuntos!G18)-Datos!BF18)/Datos!BF18),(('Resol  Asuntos'!D18/NºAsuntos!G18)-Datos!BF18)/Datos!BF18," - ")</f>
        <v>-0.18987341772151894</v>
      </c>
      <c r="K18" s="522">
        <f>IF(ISNUMBER((((NºAsuntos!C18+NºAsuntos!E18)/NºAsuntos!G18)-Datos!BG18)/Datos!BG18),(((NºAsuntos!C18+NºAsuntos!E18)/NºAsuntos!G18)-Datos!BG18)/Datos!BG18," - ")</f>
        <v>-0.42886075949367092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8.2517482517482518E-2</v>
      </c>
      <c r="C23" s="1152">
        <f>IF(ISNUMBER(
   IF(Criterios!B14="SI",(Datos!J23-Datos!T23)/Datos!T23,(Datos!J23+Datos!AD23-(Datos!T23+Datos!AL23))/(Datos!T23+Datos!AL23))
     ),IF(Criterios!B14="SI",(Datos!J23-Datos!T23)/Datos!T23,(Datos!J23+Datos!AD23-(Datos!T23+Datos!AL23))/(Datos!T23+Datos!AL23))," - ")</f>
        <v>0.22748815165876776</v>
      </c>
      <c r="D23" s="1152">
        <f>IF(ISNUMBER(
   IF(Criterios!B14="SI",(Datos!K23-Datos!U23)/Datos!U23,(Datos!K23+Datos!AE23-(Datos!U23+Datos!AM23))/(Datos!U23+Datos!AM23))
     ),IF(Criterios!B14="SI",(Datos!K23-Datos!U23)/Datos!U23,(Datos!K23+Datos!AE23-(Datos!U23+Datos!AM23))/(Datos!U23+Datos!AM23))," - ")</f>
        <v>0.37689243027888447</v>
      </c>
      <c r="E23" s="1152">
        <f>IF(ISNUMBER(
   IF(Criterios!B14="SI",(Datos!L23-Datos!V23)/Datos!V23,(Datos!L23+Datos!AF23-(Datos!V23+Datos!AN23))/(Datos!V23+Datos!AN23))
     ),IF(Criterios!B14="SI",(Datos!L23-Datos!V23)/Datos!V23,(Datos!L23+Datos!AF23-(Datos!V23+Datos!AN23))/(Datos!V23+Datos!AN23))," - ")</f>
        <v>-0.20930232558139536</v>
      </c>
      <c r="F23" s="1153">
        <f>IF(ISNUMBER((Datos!M23-Datos!W23)/Datos!W23),(Datos!M23-Datos!W23)/Datos!W23," - ")</f>
        <v>0.24444444444444444</v>
      </c>
      <c r="G23" s="1154">
        <f>IF(ISNUMBER((Datos!N23-Datos!X23)/Datos!X23),(Datos!N23-Datos!X23)/Datos!X23," - ")</f>
        <v>0.56666666666666665</v>
      </c>
      <c r="H23" s="1154">
        <f>IF(ISNUMBER(((NºAsuntos!G23/NºAsuntos!E23)-Datos!BD23)/Datos!BD23),((NºAsuntos!G23/NºAsuntos!E23)-Datos!BD23)/Datos!BD23," - ")</f>
        <v>0.12171545478318382</v>
      </c>
      <c r="I23" s="1154">
        <f>IF(ISNUMBER(((NºAsuntos!I23/NºAsuntos!G23)-Datos!BE23)/Datos!BE23),((NºAsuntos!I23/NºAsuntos!G23)-Datos!BE23)/Datos!BE23," - ")</f>
        <v>-0.42573751076658051</v>
      </c>
      <c r="J23" s="1154">
        <f>IF(ISNUMBER((('Resol  Asuntos'!D23/NºAsuntos!G23)-Datos!BF23)/Datos!BF23),(('Resol  Asuntos'!D23/NºAsuntos!G23)-Datos!BF23)/Datos!BF23," - ")</f>
        <v>-9.6193415637860075E-2</v>
      </c>
      <c r="K23" s="1154">
        <f>IF(ISNUMBER((((NºAsuntos!C23+NºAsuntos!E23)/NºAsuntos!G23)-Datos!BG23)/Datos!BG23),(((NºAsuntos!C23+NºAsuntos!E23)/NºAsuntos!G23)-Datos!BG23)/Datos!BG23," - ")</f>
        <v>-0.14650989960177235</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0.18788713007570543</v>
      </c>
      <c r="C31" s="1092">
        <f>IF(ISNUMBER(
   IF(J_V="SI",(Datos!J31-Datos!T31)/Datos!T31,(Datos!J31+Datos!Z31-(Datos!T31+Datos!AH31))/(Datos!T31+Datos!AH31))
     ),IF(J_V="SI",(Datos!J31-Datos!T31)/Datos!T31,(Datos!J31+Datos!Z31-(Datos!T31+Datos!AH31))/(Datos!T31+Datos!AH31))," - ")</f>
        <v>0.10234966148944644</v>
      </c>
      <c r="D31" s="1092">
        <f>IF(ISNUMBER(
   IF(J_V="SI",(Datos!K31-Datos!U31)/Datos!U31,(Datos!K31+Datos!AA31-(Datos!U31+Datos!AI31))/(Datos!U31+Datos!AI31))
     ),IF(J_V="SI",(Datos!K31-Datos!U31)/Datos!U31,(Datos!K31+Datos!AA31-(Datos!U31+Datos!AI31))/(Datos!U31+Datos!AI31))," - ")</f>
        <v>0.14511771516788885</v>
      </c>
      <c r="E31" s="1092">
        <f>IF(ISNUMBER(
   IF(J_V="SI",(Datos!L31-Datos!V31)/Datos!V31,(Datos!L31+Datos!AB31-(Datos!V31+Datos!AJ31))/(Datos!V31+Datos!AJ31))
     ),IF(J_V="SI",(Datos!L31-Datos!V31)/Datos!V31,(Datos!L31+Datos!AB31-(Datos!V31+Datos!AJ31))/(Datos!V31+Datos!AJ31))," - ")</f>
        <v>-0.10834298957126304</v>
      </c>
      <c r="F31" s="1093">
        <f>IF(ISNUMBER((Datos!M31-Datos!W31)/Datos!W31),(Datos!M31-Datos!W31)/Datos!W31," - ")</f>
        <v>0.24928366762177651</v>
      </c>
      <c r="G31" s="1094">
        <f>IF(ISNUMBER((Datos!N31-Datos!X31)/Datos!X31),(Datos!N31-Datos!X31)/Datos!X31," - ")</f>
        <v>0.53026196928635949</v>
      </c>
      <c r="H31" s="1095">
        <f>IF(ISNUMBER((Tasas!B31-Datos!BD31)/Datos!BD31),(Tasas!B31-Datos!BD31)/Datos!BD31," - ")</f>
        <v>3.8797175862199842E-2</v>
      </c>
      <c r="I31" s="1096">
        <f>IF(ISNUMBER((Tasas!C31-Datos!BE31)/Datos!BE31),(Tasas!C31-Datos!BE31)/Datos!BE31," - ")</f>
        <v>-0.22134030535191859</v>
      </c>
      <c r="J31" s="1097">
        <f>IF(ISNUMBER((Tasas!D31-Datos!BF31)/Datos!BF31),(Tasas!D31-Datos!BF31)/Datos!BF31," - ")</f>
        <v>-0.11864147598896507</v>
      </c>
      <c r="K31" s="1097">
        <f>IF(ISNUMBER((Tasas!E31-Datos!BG31)/Datos!BG31),(Tasas!E31-Datos!BG31)/Datos!BG31," - ")</f>
        <v>-9.9678705926646086E-3</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14 abr.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8INMsHnKU1YzxvZe4RaL/gAUOiPxi0k35/E20wFcaUu0XFK/tF6Kz7mREA6L874w4Z1u+eR/UjZB5m9B/WSetw==" saltValue="RSyFGeAntzUtXgpjgAtom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ARAGON</v>
      </c>
    </row>
    <row r="3" spans="1:7" ht="19.5">
      <c r="A3" s="491" t="s">
        <v>17</v>
      </c>
      <c r="B3" s="439" t="str">
        <f>Criterios!A10 &amp;"  "&amp;Criterios!B10</f>
        <v>Provincias  ZARAGOZA</v>
      </c>
    </row>
    <row r="4" spans="1:7" ht="11.25" customHeight="1" thickBot="1">
      <c r="B4" s="439" t="str">
        <f>Criterios!A11 &amp;"  "&amp;Criterios!B11</f>
        <v>Resumenes por Partidos Judiciales  CALATAYUD</v>
      </c>
    </row>
    <row r="5" spans="1:7" ht="12.75" customHeight="1">
      <c r="A5" s="1591" t="str">
        <f>"Año:  " &amp;Criterios!B5 &amp; "    Trimestre   " &amp;Criterios!D5 &amp; " al " &amp;Criterios!D6</f>
        <v>Año:  2022    Trimestre   1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1</v>
      </c>
      <c r="C10" s="498">
        <f>IF(ISNUMBER(NºAsuntos!I10/NºAsuntos!G10),NºAsuntos!I10/NºAsuntos!G10," - ")</f>
        <v>0.6</v>
      </c>
      <c r="D10" s="499">
        <f>IF(ISNUMBER('Resol  Asuntos'!D10/NºAsuntos!G10),'Resol  Asuntos'!D10/NºAsuntos!G10," - ")</f>
        <v>0</v>
      </c>
      <c r="E10" s="500">
        <f>IF(ISNUMBER((NºAsuntos!C10+NºAsuntos!E10)/NºAsuntos!G10),(NºAsuntos!C10+NºAsuntos!E10)/NºAsuntos!G10," - ")</f>
        <v>1.6</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1.0206782464846982</v>
      </c>
      <c r="C12" s="498">
        <f>IF(ISNUMBER(NºAsuntos!I12/NºAsuntos!G12),NºAsuntos!I12/NºAsuntos!G12," - ")</f>
        <v>0.74878444084278772</v>
      </c>
      <c r="D12" s="499">
        <f>IF(ISNUMBER('Resol  Asuntos'!D12/NºAsuntos!G12),'Resol  Asuntos'!D12/NºAsuntos!G12," - ")</f>
        <v>0.21717990275526741</v>
      </c>
      <c r="E12" s="500">
        <f>IF(ISNUMBER((NºAsuntos!C12+NºAsuntos!E12)/NºAsuntos!G12),(NºAsuntos!C12+NºAsuntos!E12)/NºAsuntos!G12," - ")</f>
        <v>1.7487844408427877</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1.0205930807248764</v>
      </c>
      <c r="C14" s="1156">
        <f>IF(ISNUMBER(NºAsuntos!I14/NºAsuntos!G14),NºAsuntos!I14/NºAsuntos!G14," - ")</f>
        <v>0.74818401937046008</v>
      </c>
      <c r="D14" s="1157">
        <f>IF(ISNUMBER('Resol  Asuntos'!D14/NºAsuntos!G14),'Resol  Asuntos'!D14/NºAsuntos!G14," - ")</f>
        <v>0.21630347054075869</v>
      </c>
      <c r="E14" s="1158">
        <f>IF(ISNUMBER((NºAsuntos!C14+NºAsuntos!E14)/NºAsuntos!G14),(NºAsuntos!C14+NºAsuntos!E14)/NºAsuntos!G14," - ")</f>
        <v>1.7481840193704601</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1.1348933241569168</v>
      </c>
      <c r="C17" s="498">
        <f>IF(ISNUMBER(NºAsuntos!I17/NºAsuntos!G17),NºAsuntos!I17/NºAsuntos!G17," - ")</f>
        <v>0.33353547604608852</v>
      </c>
      <c r="D17" s="499">
        <f>IF(ISNUMBER('Resol  Asuntos'!D17/NºAsuntos!G17),'Resol  Asuntos'!D17/NºAsuntos!G17," - ")</f>
        <v>9.5815645845967259E-2</v>
      </c>
      <c r="E17" s="500">
        <f>IF(ISNUMBER((NºAsuntos!C17+NºAsuntos!E17)/NºAsuntos!G17),(NºAsuntos!C17+NºAsuntos!E17)/NºAsuntos!G17," - ")</f>
        <v>1.3262583383869011</v>
      </c>
      <c r="G17" s="523"/>
    </row>
    <row r="18" spans="1:7">
      <c r="A18" s="450" t="str">
        <f>Datos!A18</f>
        <v>Jdos. Violencia contra la mujer</v>
      </c>
      <c r="B18" s="497">
        <f>IF(ISNUMBER(NºAsuntos!G18/NºAsuntos!E18),NºAsuntos!G18/NºAsuntos!E18," - ")</f>
        <v>0.78217821782178221</v>
      </c>
      <c r="C18" s="498">
        <f>IF(ISNUMBER(NºAsuntos!I18/NºAsuntos!G18),NºAsuntos!I18/NºAsuntos!G18," - ")</f>
        <v>0.78481012658227844</v>
      </c>
      <c r="D18" s="499">
        <f>IF(ISNUMBER('Resol  Asuntos'!D18/NºAsuntos!G18),'Resol  Asuntos'!D18/NºAsuntos!G18," - ")</f>
        <v>0.12658227848101267</v>
      </c>
      <c r="E18" s="500">
        <f>IF(ISNUMBER((NºAsuntos!C18+NºAsuntos!E18)/NºAsuntos!G18),(NºAsuntos!C18+NºAsuntos!E18)/NºAsuntos!G18," - ")</f>
        <v>1.7848101265822784</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1.111969111969112</v>
      </c>
      <c r="C23" s="1156">
        <f>IF(ISNUMBER(NºAsuntos!I23/NºAsuntos!G23),NºAsuntos!I23/NºAsuntos!G23," - ")</f>
        <v>0.35416666666666669</v>
      </c>
      <c r="D23" s="1159">
        <f>IF(ISNUMBER('Resol  Asuntos'!D23/NºAsuntos!G23),'Resol  Asuntos'!D23/NºAsuntos!G23," - ")</f>
        <v>9.7222222222222224E-2</v>
      </c>
      <c r="E23" s="1158">
        <f>IF(ISNUMBER((NºAsuntos!C23+NºAsuntos!E23)/NºAsuntos!G23),(NºAsuntos!C23+NºAsuntos!E23)/NºAsuntos!G23," - ")</f>
        <v>1.3472222222222223</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1.0718930635838151</v>
      </c>
      <c r="C31" s="1099">
        <f>IF(ISNUMBER(NºAsuntos!I31/NºAsuntos!G31),NºAsuntos!I31/NºAsuntos!G31," - ")</f>
        <v>0.51870576339737107</v>
      </c>
      <c r="D31" s="1100">
        <f>IF(ISNUMBER('Resol  Asuntos'!D31/NºAsuntos!G31),'Resol  Asuntos'!D31/NºAsuntos!G31," - ")</f>
        <v>0.14694978092349173</v>
      </c>
      <c r="E31" s="1101">
        <f>IF(ISNUMBER((NºAsuntos!C31+NºAsuntos!E31)/NºAsuntos!G31),(NºAsuntos!C31+NºAsuntos!E31)/NºAsuntos!G31," - ")</f>
        <v>1.5146612740141556</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14 abr.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1o1W6BUMr/i3eMrzjZUMCmLD8I3U0MHRO6o6yrnUMfbeTsE5SS2lPNiZwCr1+hApBo9VG7dKLEnuDT4q63ztQg==" saltValue="TazI3Rl3K8iMoLq90guz6g=="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ARAGON</v>
      </c>
      <c r="G2" s="369"/>
      <c r="H2" s="368"/>
      <c r="I2" s="368"/>
      <c r="J2" s="368"/>
      <c r="K2" s="368"/>
      <c r="L2" s="368" t="str">
        <f>Criterios!A10 &amp;"  "&amp;Criterios!B10</f>
        <v>Provincias  ZARAGOZA</v>
      </c>
      <c r="N2" s="368" t="str">
        <f>Criterios!A11 &amp;"  "&amp;Criterios!B11</f>
        <v>Resumenes por Partidos Judiciales  CALATAYUD</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68" t="s">
        <v>465</v>
      </c>
      <c r="B5" s="297"/>
      <c r="C5" s="1671" t="str">
        <f>"Año:  " &amp;Criterios!B$5 &amp; "          Trimestre   " &amp;Criterios!D$5 &amp; " al " &amp;Criterios!D$6</f>
        <v>Año:  2022          Trimestre   1 al 4</v>
      </c>
      <c r="D5" s="1641" t="s">
        <v>491</v>
      </c>
      <c r="E5" s="1641" t="s">
        <v>414</v>
      </c>
      <c r="F5" s="1673" t="s">
        <v>527</v>
      </c>
      <c r="G5" s="1676" t="s">
        <v>173</v>
      </c>
      <c r="H5" s="1632" t="s">
        <v>221</v>
      </c>
      <c r="I5" s="1632" t="s">
        <v>225</v>
      </c>
      <c r="J5" s="1632" t="s">
        <v>226</v>
      </c>
      <c r="K5" s="1632" t="s">
        <v>528</v>
      </c>
      <c r="L5" s="1632" t="s">
        <v>785</v>
      </c>
      <c r="M5" s="1632" t="s">
        <v>420</v>
      </c>
      <c r="N5" s="1632" t="s">
        <v>492</v>
      </c>
      <c r="O5" s="1632" t="s">
        <v>530</v>
      </c>
      <c r="P5" s="1632" t="s">
        <v>224</v>
      </c>
      <c r="Q5" s="1632" t="s">
        <v>59</v>
      </c>
      <c r="R5" s="1647" t="s">
        <v>227</v>
      </c>
      <c r="S5" s="1650" t="s">
        <v>230</v>
      </c>
      <c r="T5" s="1638" t="s">
        <v>231</v>
      </c>
      <c r="U5" s="1635" t="s">
        <v>232</v>
      </c>
      <c r="V5" s="1662" t="s">
        <v>418</v>
      </c>
      <c r="W5" s="1679" t="s">
        <v>233</v>
      </c>
      <c r="X5" s="1682" t="s">
        <v>234</v>
      </c>
      <c r="Y5" s="1682" t="s">
        <v>235</v>
      </c>
      <c r="Z5" s="1665" t="s">
        <v>236</v>
      </c>
      <c r="AA5" s="1653" t="s">
        <v>237</v>
      </c>
      <c r="AB5" s="1632" t="s">
        <v>238</v>
      </c>
      <c r="AC5" s="1632" t="s">
        <v>239</v>
      </c>
      <c r="AD5" s="1685" t="s">
        <v>240</v>
      </c>
      <c r="AE5" s="1641" t="s">
        <v>243</v>
      </c>
      <c r="AF5" s="1656" t="s">
        <v>241</v>
      </c>
      <c r="AG5" s="1632" t="s">
        <v>242</v>
      </c>
      <c r="AH5" s="1647" t="s">
        <v>261</v>
      </c>
      <c r="AI5" s="1653" t="s">
        <v>244</v>
      </c>
      <c r="AJ5" s="1659" t="s">
        <v>322</v>
      </c>
      <c r="AK5" s="1644" t="s">
        <v>323</v>
      </c>
      <c r="AL5" s="1641" t="s">
        <v>324</v>
      </c>
      <c r="AM5" s="1641" t="s">
        <v>473</v>
      </c>
      <c r="AN5" s="1641" t="s">
        <v>325</v>
      </c>
      <c r="AO5" s="1641" t="s">
        <v>326</v>
      </c>
      <c r="AP5" s="1641" t="s">
        <v>387</v>
      </c>
      <c r="AQ5" s="1641" t="s">
        <v>245</v>
      </c>
      <c r="AR5" s="1641" t="s">
        <v>246</v>
      </c>
      <c r="AS5" s="1641" t="s">
        <v>503</v>
      </c>
      <c r="AT5" s="1641" t="s">
        <v>376</v>
      </c>
      <c r="AU5" s="1641" t="s">
        <v>377</v>
      </c>
      <c r="AV5" s="1641" t="s">
        <v>436</v>
      </c>
      <c r="AW5" s="1641" t="s">
        <v>1128</v>
      </c>
      <c r="AX5" s="1641" t="s">
        <v>419</v>
      </c>
      <c r="AY5" s="1641" t="s">
        <v>1008</v>
      </c>
      <c r="AZ5" s="1641" t="s">
        <v>1009</v>
      </c>
      <c r="BF5" s="1630" t="s">
        <v>262</v>
      </c>
      <c r="BG5" s="1631"/>
      <c r="BH5" s="1630" t="s">
        <v>263</v>
      </c>
      <c r="BI5" s="1631"/>
      <c r="BJ5" s="1630" t="s">
        <v>264</v>
      </c>
      <c r="BK5" s="1631"/>
      <c r="BL5" s="1630" t="s">
        <v>265</v>
      </c>
      <c r="BM5" s="1631"/>
    </row>
    <row r="6" spans="1:65" ht="21.75" customHeight="1">
      <c r="A6" s="1669"/>
      <c r="B6" s="298"/>
      <c r="C6" s="1672"/>
      <c r="D6" s="1642"/>
      <c r="E6" s="1642"/>
      <c r="F6" s="1674"/>
      <c r="G6" s="1677"/>
      <c r="H6" s="1633"/>
      <c r="I6" s="1633"/>
      <c r="J6" s="1633"/>
      <c r="K6" s="1633"/>
      <c r="L6" s="1633"/>
      <c r="M6" s="1633"/>
      <c r="N6" s="1633"/>
      <c r="O6" s="1633"/>
      <c r="P6" s="1633"/>
      <c r="Q6" s="1633"/>
      <c r="R6" s="1648"/>
      <c r="S6" s="1651"/>
      <c r="T6" s="1639"/>
      <c r="U6" s="1636"/>
      <c r="V6" s="1663"/>
      <c r="W6" s="1680"/>
      <c r="X6" s="1683"/>
      <c r="Y6" s="1683"/>
      <c r="Z6" s="1666"/>
      <c r="AA6" s="1654"/>
      <c r="AB6" s="1633"/>
      <c r="AC6" s="1633"/>
      <c r="AD6" s="1686"/>
      <c r="AE6" s="1642"/>
      <c r="AF6" s="1657"/>
      <c r="AG6" s="1633"/>
      <c r="AH6" s="1648"/>
      <c r="AI6" s="1654"/>
      <c r="AJ6" s="1660"/>
      <c r="AK6" s="1645"/>
      <c r="AL6" s="1642"/>
      <c r="AM6" s="1642"/>
      <c r="AN6" s="1642"/>
      <c r="AO6" s="1642"/>
      <c r="AP6" s="1642"/>
      <c r="AQ6" s="1642"/>
      <c r="AR6" s="1642"/>
      <c r="AS6" s="1642"/>
      <c r="AT6" s="1642"/>
      <c r="AU6" s="1642"/>
      <c r="AV6" s="1642"/>
      <c r="AW6" s="1642"/>
      <c r="AX6" s="1642"/>
      <c r="AY6" s="1642"/>
      <c r="AZ6" s="1642"/>
      <c r="BF6" s="1628" t="s">
        <v>222</v>
      </c>
      <c r="BG6" s="1628" t="s">
        <v>223</v>
      </c>
      <c r="BH6" s="1628" t="s">
        <v>222</v>
      </c>
      <c r="BI6" s="1628" t="s">
        <v>223</v>
      </c>
      <c r="BJ6" s="1628" t="s">
        <v>222</v>
      </c>
      <c r="BK6" s="1628" t="s">
        <v>223</v>
      </c>
      <c r="BL6" s="1628" t="s">
        <v>222</v>
      </c>
      <c r="BM6" s="1628" t="s">
        <v>223</v>
      </c>
    </row>
    <row r="7" spans="1:65" ht="38.25" customHeight="1" thickBot="1">
      <c r="A7" s="1670"/>
      <c r="B7" s="299"/>
      <c r="C7" s="288" t="str">
        <f>Datos!A7</f>
        <v>COMPETENCIAS</v>
      </c>
      <c r="D7" s="1643"/>
      <c r="E7" s="1643"/>
      <c r="F7" s="1675"/>
      <c r="G7" s="1678"/>
      <c r="H7" s="1634"/>
      <c r="I7" s="1634"/>
      <c r="J7" s="1634"/>
      <c r="K7" s="1634"/>
      <c r="L7" s="1634"/>
      <c r="M7" s="1634"/>
      <c r="N7" s="1634"/>
      <c r="O7" s="1634"/>
      <c r="P7" s="1634"/>
      <c r="Q7" s="1634"/>
      <c r="R7" s="1649"/>
      <c r="S7" s="1652"/>
      <c r="T7" s="1640"/>
      <c r="U7" s="1637"/>
      <c r="V7" s="1664"/>
      <c r="W7" s="1681"/>
      <c r="X7" s="1684"/>
      <c r="Y7" s="1684"/>
      <c r="Z7" s="1667"/>
      <c r="AA7" s="1655"/>
      <c r="AB7" s="1634"/>
      <c r="AC7" s="1634"/>
      <c r="AD7" s="1687"/>
      <c r="AE7" s="1643"/>
      <c r="AF7" s="1658"/>
      <c r="AG7" s="1634"/>
      <c r="AH7" s="1649"/>
      <c r="AI7" s="1655"/>
      <c r="AJ7" s="1661"/>
      <c r="AK7" s="1646"/>
      <c r="AL7" s="1643"/>
      <c r="AM7" s="1643"/>
      <c r="AN7" s="1643"/>
      <c r="AO7" s="1643"/>
      <c r="AP7" s="1643"/>
      <c r="AQ7" s="1643"/>
      <c r="AR7" s="1643"/>
      <c r="AS7" s="1643"/>
      <c r="AT7" s="1643"/>
      <c r="AU7" s="1643"/>
      <c r="AV7" s="1643"/>
      <c r="AW7" s="1643"/>
      <c r="AX7" s="1643"/>
      <c r="AY7" s="1643"/>
      <c r="AZ7" s="1643"/>
      <c r="BF7" s="1629"/>
      <c r="BG7" s="1629"/>
      <c r="BH7" s="1629"/>
      <c r="BI7" s="1629"/>
      <c r="BJ7" s="1629"/>
      <c r="BK7" s="1629"/>
      <c r="BL7" s="1629"/>
      <c r="BM7" s="1629"/>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3</v>
      </c>
      <c r="G10" s="373">
        <f>IF(ISNUMBER(Datos!I10),Datos!I10," - ")</f>
        <v>3</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5</v>
      </c>
      <c r="X10" s="240">
        <f>IF(ISNUMBER(Datos!Q10),Datos!Q10," - ")</f>
        <v>0</v>
      </c>
      <c r="Y10" s="374">
        <f t="shared" ref="Y10:Y13" si="0">SUM(W10:X10)</f>
        <v>5</v>
      </c>
      <c r="Z10" s="375" t="str">
        <f>IF(ISNUMBER(Datos!CC10),Datos!CC10," - ")</f>
        <v xml:space="preserve"> - </v>
      </c>
      <c r="AA10" s="372">
        <f>IF(ISNUMBER(Datos!L10),Datos!L10,"-")</f>
        <v>3</v>
      </c>
      <c r="AB10" s="374">
        <f>IF(ISNUMBER(Datos!R10),Datos!R10," - ")</f>
        <v>0</v>
      </c>
      <c r="AC10" s="374">
        <f t="shared" ref="AC10:AC13" si="1">IF(ISNUMBER(AA10+AB10),AA10+AB10," - ")</f>
        <v>3</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f>IF(ISNUMBER(NºAsuntos!G10/NºAsuntos!E10),NºAsuntos!G10/NºAsuntos!E10," - ")</f>
        <v>1</v>
      </c>
      <c r="AM10" s="284">
        <f>IF(ISNUMBER(((NºAsuntos!I10/NºAsuntos!G10)*11)/factor_trimestre),((NºAsuntos!I10/NºAsuntos!G10)*11)/factor_trimestre," - ")</f>
        <v>6.6</v>
      </c>
      <c r="AN10" s="267">
        <f>IF(ISNUMBER('Resol  Asuntos'!D10/NºAsuntos!G10),'Resol  Asuntos'!D10/NºAsuntos!G10," - ")</f>
        <v>0</v>
      </c>
      <c r="AO10" s="268">
        <f>IF(ISNUMBER((NºAsuntos!C10+NºAsuntos!E10)/NºAsuntos!G10),(NºAsuntos!C10+NºAsuntos!E10)/NºAsuntos!G10," - ")</f>
        <v>1.6</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2</v>
      </c>
      <c r="B12" s="300" t="s">
        <v>321</v>
      </c>
      <c r="C12" s="7" t="str">
        <f>Datos!A12</f>
        <v xml:space="preserve">Jdos. 1ª Instª. e Instr.                        </v>
      </c>
      <c r="D12" s="7"/>
      <c r="E12" s="1402">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561</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478</v>
      </c>
      <c r="Y12" s="374">
        <f t="shared" si="0"/>
        <v>478</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1503</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268</v>
      </c>
      <c r="AJ12" s="243" t="str">
        <f>IF(ISNUMBER(Datos!BW12),Datos!BW12," - ")</f>
        <v xml:space="preserve"> - </v>
      </c>
      <c r="AK12" s="242" t="str">
        <f>IF(ISNUMBER(Datos!BX12),Datos!BX12," - ")</f>
        <v xml:space="preserve"> - </v>
      </c>
      <c r="AL12" s="266">
        <f>IF(ISNUMBER(NºAsuntos!G12/NºAsuntos!E12),NºAsuntos!G12/NºAsuntos!E12," - ")</f>
        <v>1.0206782464846982</v>
      </c>
      <c r="AM12" s="284">
        <f>IF(ISNUMBER(((NºAsuntos!I12/NºAsuntos!G12)*11)/factor_trimestre),((NºAsuntos!I12/NºAsuntos!G12)*11)/factor_trimestre," - ")</f>
        <v>8.2366288492706659</v>
      </c>
      <c r="AN12" s="267">
        <f>IF(ISNUMBER('Resol  Asuntos'!D12/NºAsuntos!G12),'Resol  Asuntos'!D12/NºAsuntos!G12," - ")</f>
        <v>0.21717990275526741</v>
      </c>
      <c r="AO12" s="268">
        <f>IF(ISNUMBER((NºAsuntos!C12+NºAsuntos!E12)/NºAsuntos!G12),(NºAsuntos!C12+NºAsuntos!E12)/NºAsuntos!G12," - ")</f>
        <v>1.7487844408427877</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v>
      </c>
      <c r="F14" s="1162">
        <f t="shared" si="5"/>
        <v>3</v>
      </c>
      <c r="G14" s="1163">
        <f t="shared" si="5"/>
        <v>3</v>
      </c>
      <c r="H14" s="1162">
        <f t="shared" si="5"/>
        <v>0</v>
      </c>
      <c r="I14" s="1164">
        <f t="shared" si="5"/>
        <v>0</v>
      </c>
      <c r="J14" s="1164">
        <f t="shared" si="5"/>
        <v>0</v>
      </c>
      <c r="K14" s="1164">
        <f t="shared" si="5"/>
        <v>0</v>
      </c>
      <c r="L14" s="1164">
        <f t="shared" si="5"/>
        <v>561</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5</v>
      </c>
      <c r="X14" s="1164">
        <f t="shared" si="6"/>
        <v>478</v>
      </c>
      <c r="Y14" s="1165">
        <f t="shared" si="6"/>
        <v>483</v>
      </c>
      <c r="Z14" s="1165">
        <f t="shared" si="6"/>
        <v>0</v>
      </c>
      <c r="AA14" s="1165">
        <f t="shared" si="6"/>
        <v>3</v>
      </c>
      <c r="AB14" s="1165">
        <f t="shared" si="6"/>
        <v>1503</v>
      </c>
      <c r="AC14" s="1165">
        <f t="shared" si="6"/>
        <v>3</v>
      </c>
      <c r="AD14" s="1165">
        <f t="shared" si="6"/>
        <v>0</v>
      </c>
      <c r="AE14" s="1169">
        <f t="shared" si="6"/>
        <v>0</v>
      </c>
      <c r="AF14" s="1162">
        <f t="shared" si="6"/>
        <v>0</v>
      </c>
      <c r="AG14" s="1170">
        <f t="shared" si="6"/>
        <v>0</v>
      </c>
      <c r="AH14" s="1167">
        <f t="shared" si="6"/>
        <v>0</v>
      </c>
      <c r="AI14" s="1162">
        <f t="shared" si="6"/>
        <v>268</v>
      </c>
      <c r="AJ14" s="1164">
        <f t="shared" si="6"/>
        <v>0</v>
      </c>
      <c r="AK14" s="1167">
        <f>SUBTOTAL(9,AK9:AK13)</f>
        <v>0</v>
      </c>
      <c r="AL14" s="1171">
        <f>IF(ISNUMBER(NºAsuntos!G14/NºAsuntos!E14),NºAsuntos!G14/NºAsuntos!E14," - ")</f>
        <v>1.0205930807248764</v>
      </c>
      <c r="AM14" s="1171">
        <f>IF(ISNUMBER(((NºAsuntos!I14/NºAsuntos!G14)*11)/factor_trimestre),((NºAsuntos!I14/NºAsuntos!G14)*11)/factor_trimestre," - ")</f>
        <v>8.2300242130750618</v>
      </c>
      <c r="AN14" s="1172">
        <f>IF(ISNUMBER('Resol  Asuntos'!D14/NºAsuntos!G14),'Resol  Asuntos'!D14/NºAsuntos!G14," - ")</f>
        <v>0.21630347054075869</v>
      </c>
      <c r="AO14" s="1173">
        <f>IF(ISNUMBER((NºAsuntos!C14+NºAsuntos!E14)/NºAsuntos!G14),(NºAsuntos!C14+NºAsuntos!E14)/NºAsuntos!G14," - ")</f>
        <v>1.7481840193704601</v>
      </c>
      <c r="AP14" s="1174" t="str">
        <f t="shared" si="2"/>
        <v xml:space="preserve"> - </v>
      </c>
      <c r="AQ14" s="1174">
        <f>IF(ISNUMBER((H14-W14+K14)/(F14)),(H14-W14+K14)/(F14)," - ")</f>
        <v>-1.6666666666666667</v>
      </c>
      <c r="AR14" s="1175">
        <f>IF(ISNUMBER((Datos!P14-Datos!Q14)/(Datos!R14-Datos!P14+Datos!Q14)),(Datos!P14-Datos!Q14)/(Datos!R14-Datos!P14+Datos!Q14)," - ")</f>
        <v>5.8450704225352111E-2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2</v>
      </c>
      <c r="B17" s="300" t="s">
        <v>511</v>
      </c>
      <c r="C17" s="173" t="str">
        <f>Datos!A17</f>
        <v xml:space="preserve">Jdos. 1ª Instª. e Instr.                        </v>
      </c>
      <c r="D17" s="173"/>
      <c r="E17" s="1402">
        <f>IF(ISNUMBER(Datos!AQ17),Datos!AQ17," - ")</f>
        <v>2</v>
      </c>
      <c r="F17" s="239">
        <f>IF(ISNUMBER(AA17+W17-Datos!J17-K17),AA17+W17-Datos!J17-K17," - ")</f>
        <v>746</v>
      </c>
      <c r="G17" s="373">
        <f>IF(ISNUMBER(IF(D_I="SI",Datos!I17,Datos!I17+Datos!AC17)),IF(D_I="SI",Datos!I17,Datos!I17+Datos!AC17)," - ")</f>
        <v>734</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27</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1649</v>
      </c>
      <c r="X17" s="240">
        <f>IF(ISNUMBER(Datos!Q17),Datos!Q17," - ")</f>
        <v>40</v>
      </c>
      <c r="Y17" s="374">
        <f t="shared" ref="Y17:Y22" si="9">SUM(W17:X17)</f>
        <v>1689</v>
      </c>
      <c r="Z17" s="375" t="str">
        <f>IF(ISNUMBER(Datos!CC17),Datos!CC17," - ")</f>
        <v xml:space="preserve"> - </v>
      </c>
      <c r="AA17" s="372">
        <f>IF(ISNUMBER(IF(D_I="SI",Datos!L17,Datos!L17+Datos!AF17)),IF(D_I="SI",Datos!L17,Datos!L17+Datos!AF17)," - ")</f>
        <v>550</v>
      </c>
      <c r="AB17" s="374">
        <f>IF(ISNUMBER(Datos!R17),Datos!R17," - ")</f>
        <v>62</v>
      </c>
      <c r="AC17" s="374">
        <f t="shared" si="8"/>
        <v>612</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158</v>
      </c>
      <c r="AJ17" s="245" t="str">
        <f>IF(ISNUMBER(Datos!BW17),Datos!BW17," - ")</f>
        <v xml:space="preserve"> - </v>
      </c>
      <c r="AK17" s="246" t="str">
        <f>IF(ISNUMBER(Datos!BX17),Datos!BX17," - ")</f>
        <v xml:space="preserve"> - </v>
      </c>
      <c r="AL17" s="266">
        <f>IF(ISNUMBER(NºAsuntos!G17/NºAsuntos!E17),NºAsuntos!G17/NºAsuntos!E17," - ")</f>
        <v>1.1348933241569168</v>
      </c>
      <c r="AM17" s="284">
        <f>IF(ISNUMBER(((NºAsuntos!I17/NºAsuntos!G17)*11)/factor_trimestre),((NºAsuntos!I17/NºAsuntos!G17)*11)/factor_trimestre," - ")</f>
        <v>3.6688902365069738</v>
      </c>
      <c r="AN17" s="267">
        <f>IF(ISNUMBER('Resol  Asuntos'!D17/NºAsuntos!G17),'Resol  Asuntos'!D17/NºAsuntos!G17," - ")</f>
        <v>9.5815645845967259E-2</v>
      </c>
      <c r="AO17" s="268">
        <f>IF(ISNUMBER((NºAsuntos!C17+NºAsuntos!E17)/NºAsuntos!G17),(NºAsuntos!C17+NºAsuntos!E17)/NºAsuntos!G17," - ")</f>
        <v>1.3262583383869011</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40</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1</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79</v>
      </c>
      <c r="X18" s="240">
        <f>IF(ISNUMBER(Datos!Q18),Datos!Q18," - ")</f>
        <v>0</v>
      </c>
      <c r="Y18" s="374">
        <f t="shared" si="9"/>
        <v>79</v>
      </c>
      <c r="Z18" s="375" t="str">
        <f>IF(ISNUMBER(Datos!CC18),Datos!CC18," - ")</f>
        <v xml:space="preserve"> - </v>
      </c>
      <c r="AA18" s="372">
        <f>IF(ISNUMBER(Datos!L18),Datos!L18,"-")</f>
        <v>62</v>
      </c>
      <c r="AB18" s="374">
        <f>IF(ISNUMBER(Datos!R18),Datos!R18," - ")</f>
        <v>1</v>
      </c>
      <c r="AC18" s="374">
        <f t="shared" si="8"/>
        <v>63</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10</v>
      </c>
      <c r="AJ18" s="245" t="str">
        <f>IF(ISNUMBER(Datos!BW18),Datos!BW18," - ")</f>
        <v xml:space="preserve"> - </v>
      </c>
      <c r="AK18" s="246" t="str">
        <f>IF(ISNUMBER(Datos!BX18),Datos!BX18," - ")</f>
        <v xml:space="preserve"> - </v>
      </c>
      <c r="AL18" s="266">
        <f>IF(ISNUMBER(NºAsuntos!G18/NºAsuntos!E18),NºAsuntos!G18/NºAsuntos!E18," - ")</f>
        <v>0.78217821782178221</v>
      </c>
      <c r="AM18" s="284">
        <f>IF(ISNUMBER(((NºAsuntos!I18/NºAsuntos!G18)*11)/factor_trimestre),((NºAsuntos!I18/NºAsuntos!G18)*11)/factor_trimestre," - ")</f>
        <v>8.6329113924050631</v>
      </c>
      <c r="AN18" s="267">
        <f>IF(ISNUMBER('Resol  Asuntos'!D18/NºAsuntos!G18),'Resol  Asuntos'!D18/NºAsuntos!G18," - ")</f>
        <v>0.12658227848101267</v>
      </c>
      <c r="AO18" s="268">
        <f>IF(ISNUMBER((NºAsuntos!C18+NºAsuntos!E18)/NºAsuntos!G18),(NºAsuntos!C18+NºAsuntos!E18)/NºAsuntos!G18," - ")</f>
        <v>1.7848101265822784</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v>
      </c>
      <c r="F23" s="1162">
        <f>SUBTOTAL(9,F15:F22)</f>
        <v>746</v>
      </c>
      <c r="G23" s="1163">
        <f>SUBTOTAL(9,G16:G22)</f>
        <v>774</v>
      </c>
      <c r="H23" s="1162">
        <f t="shared" ref="H23:O23" si="13">SUBTOTAL(9,H15:H22)</f>
        <v>0</v>
      </c>
      <c r="I23" s="1164">
        <f t="shared" si="13"/>
        <v>0</v>
      </c>
      <c r="J23" s="1164">
        <f t="shared" si="13"/>
        <v>0</v>
      </c>
      <c r="K23" s="1164">
        <f t="shared" si="13"/>
        <v>0</v>
      </c>
      <c r="L23" s="1164">
        <f t="shared" si="13"/>
        <v>28</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1728</v>
      </c>
      <c r="X23" s="1164">
        <f t="shared" si="14"/>
        <v>40</v>
      </c>
      <c r="Y23" s="1165">
        <f t="shared" si="14"/>
        <v>1768</v>
      </c>
      <c r="Z23" s="1165">
        <f t="shared" si="14"/>
        <v>0</v>
      </c>
      <c r="AA23" s="1165">
        <f t="shared" si="14"/>
        <v>612</v>
      </c>
      <c r="AB23" s="1165">
        <f t="shared" si="14"/>
        <v>63</v>
      </c>
      <c r="AC23" s="1165">
        <f t="shared" si="14"/>
        <v>675</v>
      </c>
      <c r="AD23" s="1165">
        <f t="shared" si="14"/>
        <v>0</v>
      </c>
      <c r="AE23" s="1169">
        <f t="shared" si="14"/>
        <v>0</v>
      </c>
      <c r="AF23" s="1162">
        <f t="shared" si="14"/>
        <v>0</v>
      </c>
      <c r="AG23" s="1170">
        <f t="shared" si="14"/>
        <v>0</v>
      </c>
      <c r="AH23" s="1167">
        <f t="shared" si="14"/>
        <v>0</v>
      </c>
      <c r="AI23" s="1162">
        <f t="shared" si="14"/>
        <v>168</v>
      </c>
      <c r="AJ23" s="1164">
        <f t="shared" si="14"/>
        <v>0</v>
      </c>
      <c r="AK23" s="1167">
        <f t="shared" si="14"/>
        <v>0</v>
      </c>
      <c r="AL23" s="1171">
        <f>IF(ISNUMBER(NºAsuntos!G23/NºAsuntos!E23),NºAsuntos!G23/NºAsuntos!E23," - ")</f>
        <v>1.111969111969112</v>
      </c>
      <c r="AM23" s="1171">
        <f>IF(ISNUMBER(((NºAsuntos!I23/NºAsuntos!G23)*11)/factor_trimestre),((NºAsuntos!I23/NºAsuntos!G23)*11)/factor_trimestre," - ")</f>
        <v>3.8958333333333335</v>
      </c>
      <c r="AN23" s="1172">
        <f>IF(ISNUMBER('Resol  Asuntos'!D23/NºAsuntos!G23),'Resol  Asuntos'!D23/NºAsuntos!G23," - ")</f>
        <v>9.7222222222222224E-2</v>
      </c>
      <c r="AO23" s="1173">
        <f>IF(ISNUMBER((NºAsuntos!C23+NºAsuntos!E23)/NºAsuntos!G23),(NºAsuntos!C23+NºAsuntos!E23)/NºAsuntos!G23," - ")</f>
        <v>1.3472222222222223</v>
      </c>
      <c r="AP23" s="1174" t="str">
        <f t="shared" si="2"/>
        <v xml:space="preserve"> - </v>
      </c>
      <c r="AQ23" s="1174">
        <f>IF(ISNUMBER((H23-W23+K23)/(F23)),(H23-W23+K23)/(F23)," - ")</f>
        <v>-2.316353887399464</v>
      </c>
      <c r="AR23" s="1175">
        <f>IF(ISNUMBER((Datos!P23-Datos!Q23)/(Datos!R23-Datos!P23+Datos!Q23)),(Datos!P23-Datos!Q23)/(Datos!R23-Datos!P23+Datos!Q23)," - ")</f>
        <v>-0.16</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v>
      </c>
      <c r="F31" s="1117">
        <f t="shared" si="20"/>
        <v>749</v>
      </c>
      <c r="G31" s="1118">
        <f t="shared" si="20"/>
        <v>777</v>
      </c>
      <c r="H31" s="1117">
        <f t="shared" si="20"/>
        <v>0</v>
      </c>
      <c r="I31" s="1119">
        <f t="shared" si="20"/>
        <v>0</v>
      </c>
      <c r="J31" s="1119">
        <f t="shared" si="20"/>
        <v>0</v>
      </c>
      <c r="K31" s="1180">
        <f t="shared" si="20"/>
        <v>0</v>
      </c>
      <c r="L31" s="1119">
        <f t="shared" si="20"/>
        <v>589</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1733</v>
      </c>
      <c r="X31" s="1118">
        <f t="shared" si="21"/>
        <v>518</v>
      </c>
      <c r="Y31" s="1125">
        <f t="shared" si="21"/>
        <v>2251</v>
      </c>
      <c r="Z31" s="1125">
        <f t="shared" si="21"/>
        <v>0</v>
      </c>
      <c r="AA31" s="1125">
        <f t="shared" si="21"/>
        <v>615</v>
      </c>
      <c r="AB31" s="1125">
        <f t="shared" si="21"/>
        <v>1566</v>
      </c>
      <c r="AC31" s="1125">
        <f t="shared" si="21"/>
        <v>678</v>
      </c>
      <c r="AD31" s="1125">
        <f t="shared" si="21"/>
        <v>0</v>
      </c>
      <c r="AE31" s="1127">
        <f t="shared" si="21"/>
        <v>0</v>
      </c>
      <c r="AF31" s="1128">
        <f t="shared" si="21"/>
        <v>0</v>
      </c>
      <c r="AG31" s="1129">
        <f t="shared" si="21"/>
        <v>0</v>
      </c>
      <c r="AH31" s="1127">
        <f t="shared" si="21"/>
        <v>0</v>
      </c>
      <c r="AI31" s="1117">
        <f t="shared" si="21"/>
        <v>436</v>
      </c>
      <c r="AJ31" s="1117">
        <f t="shared" si="21"/>
        <v>0</v>
      </c>
      <c r="AK31" s="1127">
        <f t="shared" si="21"/>
        <v>0</v>
      </c>
      <c r="AL31" s="1183">
        <f>IF(ISNUMBER(NºAsuntos!G31/NºAsuntos!E31),NºAsuntos!G31/NºAsuntos!E31," - ")</f>
        <v>1.0718930635838151</v>
      </c>
      <c r="AM31" s="1184">
        <f>IF(ISNUMBER(((NºAsuntos!I31/NºAsuntos!G31)*11)/factor_trimestre),((NºAsuntos!I31/NºAsuntos!G31)*11)/factor_trimestre," - ")</f>
        <v>5.705763397371082</v>
      </c>
      <c r="AN31" s="1184">
        <f>IF(ISNUMBER('Resol  Asuntos'!D31/NºAsuntos!G31),'Resol  Asuntos'!D31/NºAsuntos!G31," - ")</f>
        <v>0.14694978092349173</v>
      </c>
      <c r="AO31" s="1185">
        <f>IF(ISNUMBER((NºAsuntos!C31+NºAsuntos!E31)/NºAsuntos!G31),(NºAsuntos!C31+NºAsuntos!E31)/NºAsuntos!G31," - ")</f>
        <v>1.5146612740141556</v>
      </c>
      <c r="AP31" s="1186" t="str">
        <f t="shared" si="2"/>
        <v xml:space="preserve"> - </v>
      </c>
      <c r="AQ31" s="1187">
        <f>IF(OR(ISNUMBER(FIND("01",Criterios!A8,1)),ISNUMBER(FIND("02",Criterios!A8,1)),ISNUMBER(FIND("03",Criterios!A8,1)),ISNUMBER(FIND("04",Criterios!A8,1))),(I31-W31+K31)/(F31-K31),(H31-W31+K31)/(F31-K31))</f>
        <v>-2.313751668891856</v>
      </c>
      <c r="AR31" s="1188">
        <f>IF(ISNUMBER((Datos!P31-Datos!Q31)/(Datos!R31-Datos!P31+Datos!Q31)),(Datos!P31-Datos!Q31)/(Datos!R31-Datos!P31+Datos!Q31)," - ")</f>
        <v>4.749163879598662E-2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222</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0.837707816583391</v>
      </c>
      <c r="F33" s="276">
        <f>IF(ISNUMBER(STDEV(F8:F30)),STDEV(F8:F30),"-")</f>
        <v>384.4604877834218</v>
      </c>
      <c r="G33" s="277">
        <f>IF(ISNUMBER(STDEV(G8:G30)),STDEV(G8:G30),"-")</f>
        <v>363.88230698033857</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816.0178569474707</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120.64588087219792</v>
      </c>
      <c r="AJ33" s="276">
        <f t="shared" si="25"/>
        <v>0</v>
      </c>
      <c r="AK33" s="278">
        <f t="shared" si="25"/>
        <v>0</v>
      </c>
      <c r="AL33" s="273">
        <f t="shared" si="25"/>
        <v>0.12506584036492785</v>
      </c>
      <c r="AM33" s="274">
        <f t="shared" si="25"/>
        <v>2.2518170310453409</v>
      </c>
      <c r="AN33" s="274">
        <f t="shared" si="25"/>
        <v>8.2562325511947504E-2</v>
      </c>
      <c r="AO33" s="275">
        <f t="shared" si="25"/>
        <v>0.20820546322332323</v>
      </c>
      <c r="AP33" s="317" t="str">
        <f t="shared" si="25"/>
        <v>-</v>
      </c>
      <c r="AQ33" s="318">
        <f t="shared" si="25"/>
        <v>0.45939823943040303</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14 abr. 2023</v>
      </c>
      <c r="D42" s="130"/>
    </row>
    <row r="44" spans="1:52">
      <c r="C44" s="1"/>
      <c r="D44" s="1"/>
    </row>
  </sheetData>
  <sheetProtection algorithmName="SHA-512" hashValue="dnnYjXMb9lqM00LI+U71yRNbaRgWQVBYxWgcNhQXeQ5YefOwpiSXyWreou21A/3lgE8llTzAw/OX7NrvNVCUPQ==" saltValue="HINDrZ7ylhFSpGWIfRXjS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ARAGON</v>
      </c>
      <c r="E2" s="287"/>
    </row>
    <row r="3" spans="2:20" ht="17.25" customHeight="1">
      <c r="C3" s="291"/>
      <c r="D3" s="286" t="str">
        <f>Criterios!A10 &amp;"  "&amp;Criterios!B10</f>
        <v>Provincias  ZARAGOZA</v>
      </c>
      <c r="E3" s="287"/>
    </row>
    <row r="4" spans="2:20" ht="17.25" customHeight="1" thickBot="1">
      <c r="D4" s="286" t="str">
        <f>Criterios!A11 &amp;"  "&amp;Criterios!B11</f>
        <v>Resumenes por Partidos Judiciales  CALATAYUD</v>
      </c>
      <c r="E4" s="287"/>
    </row>
    <row r="5" spans="2:20" ht="12.75" customHeight="1">
      <c r="B5" s="297"/>
      <c r="C5" s="1671" t="str">
        <f>"Año:  " &amp;Criterios!B5 &amp; "          Trimestre   " &amp;Criterios!D5 &amp; " al " &amp;Criterios!D6</f>
        <v>Año:  2022          Trimestre   1 al 4</v>
      </c>
      <c r="D5" s="1659" t="s">
        <v>173</v>
      </c>
      <c r="E5" s="1701" t="s">
        <v>18</v>
      </c>
      <c r="F5" s="1698" t="s">
        <v>14</v>
      </c>
      <c r="G5" s="1695" t="s">
        <v>174</v>
      </c>
      <c r="H5" s="1692" t="s">
        <v>12</v>
      </c>
      <c r="I5" s="1656" t="s">
        <v>164</v>
      </c>
      <c r="J5" s="1685" t="s">
        <v>165</v>
      </c>
      <c r="K5" s="1647" t="s">
        <v>166</v>
      </c>
      <c r="M5" s="175"/>
      <c r="N5" s="183" t="s">
        <v>354</v>
      </c>
      <c r="O5" s="175"/>
      <c r="P5" s="175"/>
      <c r="Q5" s="184" t="s">
        <v>355</v>
      </c>
      <c r="R5" s="184"/>
      <c r="S5" s="182"/>
      <c r="T5" s="182"/>
    </row>
    <row r="6" spans="2:20" ht="12.75" customHeight="1">
      <c r="B6" s="298"/>
      <c r="C6" s="1672"/>
      <c r="D6" s="1660"/>
      <c r="E6" s="1702"/>
      <c r="F6" s="1699"/>
      <c r="G6" s="1696"/>
      <c r="H6" s="1693"/>
      <c r="I6" s="1657"/>
      <c r="J6" s="1686"/>
      <c r="K6" s="1648"/>
      <c r="M6" s="1688" t="s">
        <v>370</v>
      </c>
      <c r="N6" s="1688" t="s">
        <v>351</v>
      </c>
      <c r="O6" s="1688" t="s">
        <v>352</v>
      </c>
      <c r="P6" s="1688" t="s">
        <v>353</v>
      </c>
      <c r="Q6" s="1688" t="s">
        <v>370</v>
      </c>
      <c r="R6" s="1688" t="s">
        <v>351</v>
      </c>
      <c r="S6" s="1688" t="s">
        <v>352</v>
      </c>
      <c r="T6" s="1688" t="s">
        <v>353</v>
      </c>
    </row>
    <row r="7" spans="2:20" ht="23.25" customHeight="1" thickBot="1">
      <c r="B7" s="299"/>
      <c r="C7" s="288" t="str">
        <f>Datos!A7</f>
        <v>COMPETENCIAS</v>
      </c>
      <c r="D7" s="1704"/>
      <c r="E7" s="1703"/>
      <c r="F7" s="1700"/>
      <c r="G7" s="1697"/>
      <c r="H7" s="1694"/>
      <c r="I7" s="1705"/>
      <c r="J7" s="1689"/>
      <c r="K7" s="1690"/>
      <c r="M7" s="1688"/>
      <c r="N7" s="1688"/>
      <c r="O7" s="1688"/>
      <c r="P7" s="1688"/>
      <c r="Q7" s="1688"/>
      <c r="R7" s="1688"/>
      <c r="S7" s="1688"/>
      <c r="T7" s="1688"/>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v>
      </c>
      <c r="E10" s="393">
        <f>IF(ISNUMBER((Datos!J10-Datos!T10)/Datos!T10),(Datos!J10-Datos!T10)/Datos!T10," - ")</f>
        <v>0.66666666666666663</v>
      </c>
      <c r="F10" s="393">
        <f>IF(ISNUMBER((Datos!K10-Datos!U10)/Datos!U10),(Datos!K10-Datos!U10)/Datos!U10," - ")</f>
        <v>0.66666666666666663</v>
      </c>
      <c r="G10" s="394">
        <f>IF(ISNUMBER((Datos!L10-Datos!V10)/Datos!V10),(Datos!L10-Datos!V10)/Datos!V10," - ")</f>
        <v>0</v>
      </c>
      <c r="H10" s="244" t="str">
        <f>IF(ISNUMBER((Datos!M10-Datos!W10)/Datos!W10),(Datos!M10-Datos!W10)/Datos!W10," - ")</f>
        <v xml:space="preserve"> - </v>
      </c>
      <c r="I10" s="395">
        <f>IF(ISNUMBER((Tasas!C10-Datos!BE10)/Datos!BE10),(Tasas!C10-Datos!BE10)/Datos!BE10," - ")</f>
        <v>-0.4</v>
      </c>
      <c r="J10" s="394" t="str">
        <f>IF(ISNUMBER((Tasas!D10-Datos!BF10)/Datos!BF10),(Tasas!D10-Datos!BF10)/Datos!BF10," - ")</f>
        <v xml:space="preserve"> - </v>
      </c>
      <c r="K10" s="396">
        <f>IF(ISNUMBER((Tasas!E10-Datos!BG10)/Datos!BG10),(Tasas!E10-Datos!BG10)/Datos!BG10," - ")</f>
        <v>-0.19999999999999996</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0.25233644859813081</v>
      </c>
      <c r="I12" s="395">
        <f>IF(ISNUMBER((Tasas!C12-Datos!BE12)/Datos!BE12),(Tasas!C12-Datos!BE12)/Datos!BE12," - ")</f>
        <v>5.1769925862419401E-2</v>
      </c>
      <c r="J12" s="394">
        <f>IF(ISNUMBER((Tasas!D12-Datos!BF12)/Datos!BF12),(Tasas!D12-Datos!BF12)/Datos!BF12," - ")</f>
        <v>-2.5249796724675172E-2</v>
      </c>
      <c r="K12" s="396">
        <f>IF(ISNUMBER((Tasas!E12-Datos!BG12)/Datos!BG12),(Tasas!E12-Datos!BG12)/Datos!BG12," - ")</f>
        <v>0.17912476461478807</v>
      </c>
      <c r="M12" t="e">
        <f>IF(Monitorios="SI",Datos!CE12,0)</f>
        <v>#REF!</v>
      </c>
      <c r="N12" t="e">
        <f>IF(Monitorios="SI",Datos!CF12,0)</f>
        <v>#REF!</v>
      </c>
      <c r="O12" t="e">
        <f>IF(Monitorios="SI",Datos!CG12,0)</f>
        <v>#REF!</v>
      </c>
      <c r="P12" t="e">
        <f>IF(Monitorios="SI",Datos!CH12,0)</f>
        <v>#REF!</v>
      </c>
      <c r="Q12">
        <f>IF(J_V="SI",0,Datos!AG12)</f>
        <v>28</v>
      </c>
      <c r="R12">
        <f>IF(J_V="SI",0,Datos!AH12)</f>
        <v>134</v>
      </c>
      <c r="S12">
        <f>IF(J_V="SI",0,Datos!AI12)</f>
        <v>116</v>
      </c>
      <c r="T12">
        <f>IF(J_V="SI",0,Datos!AJ12)</f>
        <v>95</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0.25233644859813081</v>
      </c>
      <c r="I14" s="402">
        <f>IF(ISNUMBER((Tasas!C14-Datos!BE14)/Datos!BE14),(Tasas!C14-Datos!BE14)/Datos!BE14," - ")</f>
        <v>4.9972531385435649E-2</v>
      </c>
      <c r="J14" s="400">
        <f>IF(ISNUMBER((Tasas!D14-Datos!BF14)/Datos!BF14),(Tasas!D14-Datos!BF14)/Datos!BF14," - ")</f>
        <v>-2.6998529823388497E-2</v>
      </c>
      <c r="K14" s="403">
        <f>IF(ISNUMBER((Tasas!E14-Datos!BG14)/Datos!BG14),(Tasas!E14-Datos!BG14)/Datos!BG14," - ")</f>
        <v>0.17779820972210528</v>
      </c>
      <c r="M14" t="e">
        <f>IF(Monitorios="SI",Datos!CE14,0)</f>
        <v>#REF!</v>
      </c>
      <c r="N14" t="e">
        <f>IF(Monitorios="SI",Datos!CF14,0)</f>
        <v>#REF!</v>
      </c>
      <c r="O14" t="e">
        <f>IF(Monitorios="SI",Datos!CG14,0)</f>
        <v>#REF!</v>
      </c>
      <c r="P14" t="e">
        <f>IF(Monitorios="SI",Datos!CH14,0)</f>
        <v>#REF!</v>
      </c>
      <c r="Q14">
        <f>IF(J_V="SI",0,Datos!AG14)</f>
        <v>28</v>
      </c>
      <c r="R14">
        <f>IF(J_V="SI",0,Datos!AH14)</f>
        <v>134</v>
      </c>
      <c r="S14">
        <f>IF(J_V="SI",0,Datos!AI14)</f>
        <v>116</v>
      </c>
      <c r="T14">
        <f>IF(J_V="SI",0,Datos!AJ14)</f>
        <v>95</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0.10708898944193061</v>
      </c>
      <c r="E17" s="393">
        <f>IF(ISNUMBER(
   IF(D_I="SI",(Datos!J17-Datos!T17)/Datos!T17,(Datos!J17+Datos!AD17-(Datos!T17+Datos!AL17))/(Datos!T17+Datos!AL17))
     ),IF(D_I="SI",(Datos!J17-Datos!T17)/Datos!T17,(Datos!J17+Datos!AD17-(Datos!T17+Datos!AL17))/(Datos!T17+Datos!AL17))," - ")</f>
        <v>0.19293924466338258</v>
      </c>
      <c r="F17" s="393">
        <f>IF(ISNUMBER(
   IF(D_I="SI",(Datos!K17-Datos!U17)/Datos!U17,(Datos!K17+Datos!AE17-(Datos!U17+Datos!AM17))/(Datos!U17+Datos!AM17))
     ),IF(D_I="SI",(Datos!K17-Datos!U17)/Datos!U17,(Datos!K17+Datos!AE17-(Datos!U17+Datos!AM17))/(Datos!U17+Datos!AM17))," - ")</f>
        <v>0.34832379394930496</v>
      </c>
      <c r="G17" s="394">
        <f>IF(ISNUMBER(
   IF(D_I="SI",(Datos!L17-Datos!V17)/Datos!V17,(Datos!L17+Datos!AF17-(Datos!V17+Datos!AN17))/(Datos!V17+Datos!AN17))
     ),IF(D_I="SI",(Datos!L17-Datos!V17)/Datos!V17,(Datos!L17+Datos!AF17-(Datos!V17+Datos!AN17))/(Datos!V17+Datos!AN17))," - ")</f>
        <v>-0.25068119891008173</v>
      </c>
      <c r="H17" s="244">
        <f>IF(ISNUMBER((Datos!M17-Datos!W17)/Datos!W17),(Datos!M17-Datos!W17)/Datos!W17," - ")</f>
        <v>0.2153846153846154</v>
      </c>
      <c r="I17" s="395">
        <f>IF(ISNUMBER((Tasas!C17-Datos!BE17)/Datos!BE17),(Tasas!C17-Datos!BE17)/Datos!BE17," - ")</f>
        <v>-0.4442590092583566</v>
      </c>
      <c r="J17" s="394">
        <f>IF(ISNUMBER((Tasas!D17-Datos!BF17)/Datos!BF17),(Tasas!D17-Datos!BF17)/Datos!BF17," - ")</f>
        <v>-9.8595885618323359E-2</v>
      </c>
      <c r="K17" s="396">
        <f>IF(ISNUMBER((Tasas!E17-Datos!BG17)/Datos!BG17),(Tasas!E17-Datos!BG17)/Datos!BG17," - ")</f>
        <v>-0.13768530151665068</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-0.23076923076923078</v>
      </c>
      <c r="E18" s="393">
        <f>IF(ISNUMBER(
   IF(D_I="SI",(Datos!J18-Datos!T18)/Datos!T18,(Datos!J18+Datos!AD18-(Datos!T18+Datos!AL18))/(Datos!T18+Datos!AL18))
     ),IF(D_I="SI",(Datos!J18-Datos!T18)/Datos!T18,(Datos!J18+Datos!AD18-(Datos!T18+Datos!AL18))/(Datos!T18+Datos!AL18))," - ")</f>
        <v>1.1041666666666667</v>
      </c>
      <c r="F18" s="393">
        <f>IF(ISNUMBER(
   IF(D_I="SI",(Datos!K18-Datos!U18)/Datos!U18,(Datos!K18+Datos!AE18-(Datos!U18+Datos!AM18))/(Datos!U18+Datos!AM18))
     ),IF(D_I="SI",(Datos!K18-Datos!U18)/Datos!U18,(Datos!K18+Datos!AE18-(Datos!U18+Datos!AM18))/(Datos!U18+Datos!AM18))," - ")</f>
        <v>1.46875</v>
      </c>
      <c r="G18" s="394">
        <f>IF(ISNUMBER(
   IF(D_I="SI",(Datos!L18-Datos!V18)/Datos!V18,(Datos!L18+Datos!AF18-(Datos!V18+Datos!AN18))/(Datos!V18+Datos!AN18))
     ),IF(D_I="SI",(Datos!L18-Datos!V18)/Datos!V18,(Datos!L18+Datos!AF18-(Datos!V18+Datos!AN18))/(Datos!V18+Datos!AN18))," - ")</f>
        <v>0.55000000000000004</v>
      </c>
      <c r="H18" s="244">
        <f>IF(ISNUMBER((Datos!M18-Datos!W18)/Datos!W18),(Datos!M18-Datos!W18)/Datos!W18," - ")</f>
        <v>1</v>
      </c>
      <c r="I18" s="395">
        <f>IF(ISNUMBER((Tasas!C18-Datos!BE18)/Datos!BE18),(Tasas!C18-Datos!BE18)/Datos!BE18," - ")</f>
        <v>-0.37215189873417726</v>
      </c>
      <c r="J18" s="394">
        <f>IF(ISNUMBER((Tasas!D18-Datos!BF18)/Datos!BF18),(Tasas!D18-Datos!BF18)/Datos!BF18," - ")</f>
        <v>-0.18987341772151894</v>
      </c>
      <c r="K18" s="396">
        <f>IF(ISNUMBER((Tasas!E18-Datos!BG18)/Datos!BG18),(Tasas!E18-Datos!BG18)/Datos!BG18," - ")</f>
        <v>-0.42886075949367092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8.2517482517482518E-2</v>
      </c>
      <c r="E23" s="399">
        <f>IF(ISNUMBER(
   IF(D_I="SI",(Datos!J23-Datos!T23)/Datos!T23,(Datos!J23+Datos!AD23-(Datos!T23+Datos!AL23))/(Datos!T23+Datos!AL23))
     ),IF(D_I="SI",(Datos!J23-Datos!T23)/Datos!T23,(Datos!J23+Datos!AD23-(Datos!T23+Datos!AL23))/(Datos!T23+Datos!AL23))," - ")</f>
        <v>0.22748815165876776</v>
      </c>
      <c r="F23" s="399">
        <f>IF(ISNUMBER(
   IF(D_I="SI",(Datos!K23-Datos!U23)/Datos!U23,(Datos!K23+Datos!AE23-(Datos!U23+Datos!AM23))/(Datos!U23+Datos!AM23))
     ),IF(D_I="SI",(Datos!K23-Datos!U23)/Datos!U23,(Datos!K23+Datos!AE23-(Datos!U23+Datos!AM23))/(Datos!U23+Datos!AM23))," - ")</f>
        <v>0.37689243027888447</v>
      </c>
      <c r="G23" s="400">
        <f>IF(ISNUMBER(
   IF(D_I="SI",(Datos!L23-Datos!V23)/Datos!V23,(Datos!L23+Datos!AF23-(Datos!V23+Datos!AN23))/(Datos!V23+Datos!AN23))
     ),IF(D_I="SI",(Datos!L23-Datos!V23)/Datos!V23,(Datos!L23+Datos!AF23-(Datos!V23+Datos!AN23))/(Datos!V23+Datos!AN23))," - ")</f>
        <v>-0.20930232558139536</v>
      </c>
      <c r="H23" s="401">
        <f>IF(ISNUMBER((Datos!M23-Datos!W23)/Datos!W23),(Datos!M23-Datos!W23)/Datos!W23," - ")</f>
        <v>0.24444444444444444</v>
      </c>
      <c r="I23" s="402">
        <f>IF(ISNUMBER((Tasas!C23-Datos!BE23)/Datos!BE23),(Tasas!C23-Datos!BE23)/Datos!BE23," - ")</f>
        <v>-0.42573751076658051</v>
      </c>
      <c r="J23" s="400">
        <f>IF(ISNUMBER((Tasas!D23-Datos!BF23)/Datos!BF23),(Tasas!D23-Datos!BF23)/Datos!BF23," - ")</f>
        <v>-9.6193415637860075E-2</v>
      </c>
      <c r="K23" s="403">
        <f>IF(ISNUMBER((Tasas!E23-Datos!BG23)/Datos!BG23),(Tasas!E23-Datos!BG23)/Datos!BG23," - ")</f>
        <v>-0.14650989960177235</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0.18788713007570543</v>
      </c>
      <c r="E31" s="409">
        <f>IF(ISNUMBER(
   IF(J_V="SI",(Datos!J31-Datos!T31)/Datos!T31,(Datos!J31+Datos!Z31-(Datos!T31+Datos!AH31))/(Datos!T31+Datos!AH31))
     ),IF(J_V="SI",(Datos!J31-Datos!T31)/Datos!T31,(Datos!J31+Datos!Z31-(Datos!T31+Datos!AH31))/(Datos!T31+Datos!AH31))," - ")</f>
        <v>0.10234966148944644</v>
      </c>
      <c r="F31" s="409">
        <f>IF(ISNUMBER(
   IF(J_V="SI",(Datos!K31-Datos!U31)/Datos!U31,(Datos!K31+Datos!AA31-(Datos!U31+Datos!AI31))/(Datos!U31+Datos!AI31))
     ),IF(J_V="SI",(Datos!K31-Datos!U31)/Datos!U31,(Datos!K31+Datos!AA31-(Datos!U31+Datos!AI31))/(Datos!U31+Datos!AI31))," - ")</f>
        <v>0.14511771516788885</v>
      </c>
      <c r="G31" s="410">
        <f>IF(ISNUMBER(
   IF(J_V="SI",(Datos!L31-Datos!V31)/Datos!V31,(Datos!L31+Datos!AB31-(Datos!V31+Datos!AJ31))/(Datos!V31+Datos!AJ31))
     ),IF(J_V="SI",(Datos!L31-Datos!V31)/Datos!V31,(Datos!L31+Datos!AB31-(Datos!V31+Datos!AJ31))/(Datos!V31+Datos!AJ31))," - ")</f>
        <v>-0.10834298957126304</v>
      </c>
      <c r="H31" s="411">
        <f>IF(ISNUMBER((Datos!M31-Datos!W31)/Datos!W31),(Datos!M31-Datos!W31)/Datos!W31," - ")</f>
        <v>0.24928366762177651</v>
      </c>
      <c r="I31" s="408">
        <f>IF(ISNUMBER((Tasas!C31-Datos!BE31)/Datos!BE31),(Tasas!C31-Datos!BE31)/Datos!BE31," - ")</f>
        <v>-0.22134030535191859</v>
      </c>
      <c r="J31" s="409">
        <f>IF(ISNUMBER((Tasas!D31-Datos!BF31)/Datos!BF31),(Tasas!D31-Datos!BF31)/Datos!BF31," - ")</f>
        <v>-0.11864147598896507</v>
      </c>
      <c r="K31" s="410">
        <f>IF(ISNUMBER((Tasas!E31-Datos!BG31)/Datos!BG31),(Tasas!E31-Datos!BG31)/Datos!BG31," - ")</f>
        <v>-9.9678705926646086E-3</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0.15395673772452079</v>
      </c>
      <c r="E33" s="303">
        <f t="shared" si="1"/>
        <v>0.42902952002787664</v>
      </c>
      <c r="F33" s="303">
        <f t="shared" si="1"/>
        <v>0.52257160347007015</v>
      </c>
      <c r="G33" s="304">
        <f t="shared" si="1"/>
        <v>0.36838511801059154</v>
      </c>
      <c r="H33" s="310">
        <f t="shared" si="1"/>
        <v>0.33971951581970622</v>
      </c>
      <c r="I33" s="302">
        <f t="shared" si="1"/>
        <v>0.23950691953234182</v>
      </c>
      <c r="J33" s="303">
        <f t="shared" si="1"/>
        <v>6.7480473355201506E-2</v>
      </c>
      <c r="K33" s="304">
        <f t="shared" si="1"/>
        <v>0.23515718668300753</v>
      </c>
    </row>
    <row r="34" spans="2:13" ht="13.5" thickTop="1">
      <c r="C34" s="1691"/>
      <c r="D34" s="1691"/>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14 abr.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cqB4d1Oc8XVXIP6qvDOWem3Y+m4tUG6iBEVlTIO+Gt7l0e9ApR78sK0Qf4DI/+nqRi/vUy4ZS5oMyHdTHgYD/g==" saltValue="xXCHqXBu74Tl+x6jwGJ5kg==" spinCount="100000" sheet="1" objects="1" scenarios="1"/>
  <mergeCells count="18">
    <mergeCell ref="J5:J7"/>
    <mergeCell ref="K5:K7"/>
    <mergeCell ref="C34:D34"/>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2023-04-14T20:21:36Z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